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625" windowWidth="12120" windowHeight="5025" tabRatio="690" activeTab="0"/>
  </bookViews>
  <sheets>
    <sheet name="FY 24-25" sheetId="1" r:id="rId1"/>
    <sheet name="FY 23-24" sheetId="2" r:id="rId2"/>
    <sheet name="FY 22-23" sheetId="3" r:id="rId3"/>
    <sheet name="FY 21-22" sheetId="4" r:id="rId4"/>
    <sheet name="FY 20-21" sheetId="5" r:id="rId5"/>
    <sheet name="FY 19-20" sheetId="6" r:id="rId6"/>
    <sheet name="FY 18-19" sheetId="7" r:id="rId7"/>
    <sheet name="FY 17-18" sheetId="8" r:id="rId8"/>
    <sheet name="FY 16-17" sheetId="9" r:id="rId9"/>
    <sheet name="FY 15-16" sheetId="10" r:id="rId10"/>
    <sheet name="FY 14-15" sheetId="11" r:id="rId11"/>
    <sheet name="FY 13-14" sheetId="12" r:id="rId12"/>
    <sheet name="FY 12-13" sheetId="13" r:id="rId13"/>
    <sheet name="FY 11-12" sheetId="14" r:id="rId14"/>
    <sheet name="FY 10-11" sheetId="15" r:id="rId15"/>
    <sheet name="FY 09-10" sheetId="16" r:id="rId16"/>
    <sheet name="FY 08-09" sheetId="17" r:id="rId17"/>
    <sheet name="FY 07-08" sheetId="18" r:id="rId18"/>
    <sheet name="FY 06-07" sheetId="19" r:id="rId19"/>
  </sheets>
  <definedNames>
    <definedName name="_xlfn.IFERROR" hidden="1">#NAME?</definedName>
    <definedName name="_xlnm.Print_Area" localSheetId="18">'FY 06-07'!$A$1:$F$66</definedName>
    <definedName name="_xlnm.Print_Area" localSheetId="17">'FY 07-08'!$A$1:$F$66</definedName>
    <definedName name="_xlnm.Print_Area" localSheetId="16">'FY 08-09'!$A$1:$F$66</definedName>
    <definedName name="_xlnm.Print_Area" localSheetId="15">'FY 09-10'!$A$1:$F$66</definedName>
    <definedName name="_xlnm.Print_Area" localSheetId="14">'FY 10-11'!$A$1:$G$66</definedName>
    <definedName name="_xlnm.Print_Area" localSheetId="13">'FY 11-12'!$A$1:$G$66</definedName>
    <definedName name="_xlnm.Print_Area" localSheetId="12">'FY 12-13'!$A$1:$G$66</definedName>
    <definedName name="_xlnm.Print_Area" localSheetId="11">'FY 13-14'!$A$1:$G$66</definedName>
    <definedName name="_xlnm.Print_Area" localSheetId="10">'FY 14-15'!$A$1:$G$66</definedName>
    <definedName name="_xlnm.Print_Area" localSheetId="9">'FY 15-16'!$A$1:$G$67</definedName>
    <definedName name="_xlnm.Print_Area" localSheetId="8">'FY 16-17'!$A$1:$G$67</definedName>
    <definedName name="_xlnm.Print_Area" localSheetId="7">'FY 17-18'!$A$1:$G$66</definedName>
    <definedName name="_xlnm.Print_Area" localSheetId="6">'FY 18-19'!$A$1:$G$65</definedName>
    <definedName name="_xlnm.Print_Area" localSheetId="5">'FY 19-20'!$A$1:$G$65</definedName>
    <definedName name="_xlnm.Print_Area" localSheetId="4">'FY 20-21'!$A$1:$G$66</definedName>
    <definedName name="_xlnm.Print_Area" localSheetId="3">'FY 21-22'!$A$1:$G$65</definedName>
    <definedName name="_xlnm.Print_Area" localSheetId="2">'FY 22-23'!$A$1:$G$65</definedName>
    <definedName name="_xlnm.Print_Area" localSheetId="1">'FY 23-24'!$A$1:$G$66</definedName>
    <definedName name="_xlnm.Print_Area" localSheetId="0">'FY 24-25'!$A$1:$G$66</definedName>
  </definedNames>
  <calcPr fullCalcOnLoad="1"/>
</workbook>
</file>

<file path=xl/sharedStrings.xml><?xml version="1.0" encoding="utf-8"?>
<sst xmlns="http://schemas.openxmlformats.org/spreadsheetml/2006/main" count="356" uniqueCount="38">
  <si>
    <t>Credits</t>
  </si>
  <si>
    <t>Avg Daily</t>
  </si>
  <si>
    <t>Win/VGM</t>
  </si>
  <si>
    <t>Played</t>
  </si>
  <si>
    <t>Won</t>
  </si>
  <si>
    <t>Net Win</t>
  </si>
  <si>
    <t>VGM's</t>
  </si>
  <si>
    <t>per Day</t>
  </si>
  <si>
    <t>Total</t>
  </si>
  <si>
    <t>Fiscal Year 2008/2009</t>
  </si>
  <si>
    <t>Fiscal Year 2009/2010</t>
  </si>
  <si>
    <t>Week-Ending</t>
  </si>
  <si>
    <t>Totals</t>
  </si>
  <si>
    <t>Fiscal Year 2006/2007</t>
  </si>
  <si>
    <t>Fiscal Year 2007/2008</t>
  </si>
  <si>
    <t>Empire City Casino at Yonkers Raceway</t>
  </si>
  <si>
    <t>810 Yonkers Ave</t>
  </si>
  <si>
    <t>Yonkers, NY 10704</t>
  </si>
  <si>
    <t>www.yonkersraceway.com</t>
  </si>
  <si>
    <t>(914) 968-4200</t>
  </si>
  <si>
    <t>Fiscal Year 2010/2011</t>
  </si>
  <si>
    <t>Free Play</t>
  </si>
  <si>
    <t>Fiscal Year 2011/2012</t>
  </si>
  <si>
    <t>Fiscal Year 2012/2013</t>
  </si>
  <si>
    <t>Allowance</t>
  </si>
  <si>
    <t>Fiscal Year 2013/2014</t>
  </si>
  <si>
    <t>Fiscal Year 2014/2015</t>
  </si>
  <si>
    <t>Fiscal Year 2015/2016</t>
  </si>
  <si>
    <t>Fiscal Year 2016/2017</t>
  </si>
  <si>
    <t>Fiscal Year 2017/2018</t>
  </si>
  <si>
    <t>Fiscal Year 2018/2019</t>
  </si>
  <si>
    <t>Fiscal Year 2019/2020</t>
  </si>
  <si>
    <t>Fiscal Year 2020/2021</t>
  </si>
  <si>
    <t>Fiscal Year 2021/2022</t>
  </si>
  <si>
    <t>Fiscal Year 2022/2023</t>
  </si>
  <si>
    <t xml:space="preserve"> </t>
  </si>
  <si>
    <t>Fiscal Year 2023/2024</t>
  </si>
  <si>
    <t>Fiscal Year 2024/2025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</si>
</sst>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%_);[Red]\(0.00%\)"/>
    <numFmt numFmtId="166" formatCode="mm/dd/yy;@"/>
    <numFmt numFmtId="167" formatCode="&quot;$&quot;#,##0.000_);[Red]\(&quot;$&quot;#,##0.000\)"/>
    <numFmt numFmtId="168" formatCode="&quot;$&quot;#,##0.0000_);[Red]\(&quot;$&quot;#,##0.0000\)"/>
    <numFmt numFmtId="169" formatCode="&quot;$&quot;#,##0.0_);[Red]\(&quot;$&quot;#,##0.0\)"/>
    <numFmt numFmtId="170" formatCode="m/d/yy;@"/>
    <numFmt numFmtId="171" formatCode="0_);[Red]\(0\)"/>
    <numFmt numFmtId="172" formatCode="_(* #,##0_);_(* \(#,##0\);_(* &quot;-&quot;??_);_(@_)"/>
    <numFmt numFmtId="173" formatCode="&quot;$&quot;#,##0.00"/>
    <numFmt numFmtId="174" formatCode="&quot;$&quot;#,##0.0_);\(&quot;$&quot;#,##0.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6" fontId="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6" fontId="10" fillId="0" borderId="10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6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38" fontId="10" fillId="0" borderId="1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11" xfId="0" applyNumberFormat="1" applyBorder="1" applyAlignment="1">
      <alignment/>
    </xf>
    <xf numFmtId="6" fontId="0" fillId="0" borderId="0" xfId="0" applyNumberFormat="1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6" fontId="2" fillId="0" borderId="0" xfId="68" applyNumberFormat="1" applyBorder="1">
      <alignment vertical="top"/>
      <protection/>
    </xf>
    <xf numFmtId="38" fontId="0" fillId="0" borderId="11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6" fontId="5" fillId="0" borderId="0" xfId="0" applyNumberFormat="1" applyFont="1" applyAlignment="1">
      <alignment/>
    </xf>
    <xf numFmtId="6" fontId="6" fillId="0" borderId="0" xfId="0" applyNumberFormat="1" applyFont="1" applyAlignment="1">
      <alignment/>
    </xf>
    <xf numFmtId="6" fontId="7" fillId="0" borderId="0" xfId="60" applyNumberFormat="1" applyFont="1" applyAlignment="1" applyProtection="1">
      <alignment/>
      <protection/>
    </xf>
    <xf numFmtId="6" fontId="8" fillId="0" borderId="0" xfId="0" applyNumberFormat="1" applyFont="1" applyAlignment="1">
      <alignment/>
    </xf>
    <xf numFmtId="166" fontId="8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66" fontId="2" fillId="0" borderId="0" xfId="68" applyNumberFormat="1" applyBorder="1" applyAlignment="1">
      <alignment horizontal="center" vertical="center" wrapText="1"/>
      <protection/>
    </xf>
    <xf numFmtId="38" fontId="0" fillId="0" borderId="0" xfId="0" applyNumberFormat="1" applyFont="1" applyAlignment="1">
      <alignment/>
    </xf>
    <xf numFmtId="6" fontId="0" fillId="0" borderId="0" xfId="64" applyNumberFormat="1" applyAlignment="1">
      <alignment/>
      <protection/>
    </xf>
    <xf numFmtId="0" fontId="0" fillId="0" borderId="0" xfId="64" applyAlignment="1">
      <alignment/>
      <protection/>
    </xf>
    <xf numFmtId="38" fontId="0" fillId="0" borderId="0" xfId="64" applyNumberFormat="1" applyAlignment="1">
      <alignment/>
      <protection/>
    </xf>
    <xf numFmtId="164" fontId="0" fillId="0" borderId="0" xfId="64" applyNumberFormat="1" applyAlignment="1">
      <alignment horizontal="center"/>
      <protection/>
    </xf>
    <xf numFmtId="165" fontId="0" fillId="0" borderId="0" xfId="64" applyNumberFormat="1" applyAlignment="1">
      <alignment/>
      <protection/>
    </xf>
    <xf numFmtId="165" fontId="0" fillId="0" borderId="0" xfId="64" applyNumberFormat="1" applyBorder="1" applyAlignment="1">
      <alignment/>
      <protection/>
    </xf>
    <xf numFmtId="165" fontId="0" fillId="0" borderId="0" xfId="64" applyNumberFormat="1" applyAlignment="1">
      <alignment horizontal="center"/>
      <protection/>
    </xf>
    <xf numFmtId="6" fontId="0" fillId="0" borderId="11" xfId="64" applyNumberFormat="1" applyBorder="1" applyAlignment="1">
      <alignment/>
      <protection/>
    </xf>
    <xf numFmtId="38" fontId="0" fillId="0" borderId="11" xfId="64" applyNumberFormat="1" applyBorder="1" applyAlignment="1">
      <alignment/>
      <protection/>
    </xf>
    <xf numFmtId="166" fontId="0" fillId="0" borderId="0" xfId="64" applyNumberFormat="1" applyAlignment="1">
      <alignment horizontal="center"/>
      <protection/>
    </xf>
    <xf numFmtId="0" fontId="10" fillId="0" borderId="0" xfId="64" applyFont="1" applyAlignment="1">
      <alignment horizontal="center"/>
      <protection/>
    </xf>
    <xf numFmtId="6" fontId="10" fillId="0" borderId="10" xfId="64" applyNumberFormat="1" applyFont="1" applyBorder="1" applyAlignment="1">
      <alignment horizontal="center"/>
      <protection/>
    </xf>
    <xf numFmtId="38" fontId="10" fillId="0" borderId="10" xfId="64" applyNumberFormat="1" applyFont="1" applyBorder="1" applyAlignment="1">
      <alignment horizontal="center"/>
      <protection/>
    </xf>
    <xf numFmtId="164" fontId="10" fillId="0" borderId="10" xfId="64" applyNumberFormat="1" applyFont="1" applyBorder="1" applyAlignment="1">
      <alignment horizontal="center"/>
      <protection/>
    </xf>
    <xf numFmtId="6" fontId="10" fillId="0" borderId="0" xfId="64" applyNumberFormat="1" applyFont="1" applyAlignment="1">
      <alignment horizontal="center"/>
      <protection/>
    </xf>
    <xf numFmtId="38" fontId="10" fillId="0" borderId="0" xfId="64" applyNumberFormat="1" applyFont="1" applyAlignment="1">
      <alignment horizontal="center"/>
      <protection/>
    </xf>
    <xf numFmtId="164" fontId="10" fillId="0" borderId="0" xfId="64" applyNumberFormat="1" applyFont="1" applyAlignment="1">
      <alignment horizontal="center"/>
      <protection/>
    </xf>
    <xf numFmtId="0" fontId="0" fillId="0" borderId="0" xfId="64" applyAlignment="1">
      <alignment horizontal="center"/>
      <protection/>
    </xf>
    <xf numFmtId="6" fontId="0" fillId="0" borderId="0" xfId="64" applyNumberFormat="1" applyAlignment="1">
      <alignment horizontal="center"/>
      <protection/>
    </xf>
    <xf numFmtId="38" fontId="0" fillId="0" borderId="0" xfId="64" applyNumberFormat="1" applyAlignment="1">
      <alignment horizontal="center"/>
      <protection/>
    </xf>
    <xf numFmtId="6" fontId="0" fillId="0" borderId="0" xfId="64" applyNumberFormat="1" applyAlignment="1">
      <alignment horizontal="left"/>
      <protection/>
    </xf>
    <xf numFmtId="0" fontId="0" fillId="0" borderId="0" xfId="64" applyFont="1" applyAlignment="1">
      <alignment horizontal="center"/>
      <protection/>
    </xf>
    <xf numFmtId="6" fontId="8" fillId="0" borderId="0" xfId="64" applyNumberFormat="1" applyFont="1" applyAlignment="1">
      <alignment horizontal="center"/>
      <protection/>
    </xf>
    <xf numFmtId="6" fontId="8" fillId="0" borderId="0" xfId="64" applyNumberFormat="1" applyFont="1" applyAlignment="1">
      <alignment/>
      <protection/>
    </xf>
    <xf numFmtId="6" fontId="6" fillId="0" borderId="0" xfId="64" applyNumberFormat="1" applyFont="1" applyAlignment="1">
      <alignment/>
      <protection/>
    </xf>
    <xf numFmtId="6" fontId="5" fillId="0" borderId="0" xfId="64" applyNumberFormat="1" applyFont="1" applyAlignment="1">
      <alignment/>
      <protection/>
    </xf>
    <xf numFmtId="5" fontId="0" fillId="0" borderId="0" xfId="0" applyNumberFormat="1" applyAlignment="1">
      <alignment/>
    </xf>
    <xf numFmtId="5" fontId="0" fillId="0" borderId="0" xfId="64" applyNumberFormat="1" applyAlignment="1">
      <alignment/>
      <protection/>
    </xf>
    <xf numFmtId="6" fontId="5" fillId="0" borderId="0" xfId="64" applyNumberFormat="1" applyFont="1" applyAlignment="1">
      <alignment horizontal="center"/>
      <protection/>
    </xf>
    <xf numFmtId="6" fontId="6" fillId="0" borderId="0" xfId="64" applyNumberFormat="1" applyFont="1" applyAlignment="1">
      <alignment horizontal="center"/>
      <protection/>
    </xf>
    <xf numFmtId="6" fontId="7" fillId="0" borderId="0" xfId="60" applyNumberFormat="1" applyFont="1" applyAlignment="1" applyProtection="1">
      <alignment horizontal="center"/>
      <protection/>
    </xf>
    <xf numFmtId="6" fontId="8" fillId="0" borderId="0" xfId="64" applyNumberFormat="1" applyFont="1" applyAlignment="1">
      <alignment horizontal="center"/>
      <protection/>
    </xf>
    <xf numFmtId="164" fontId="9" fillId="33" borderId="12" xfId="64" applyNumberFormat="1" applyFont="1" applyFill="1" applyBorder="1" applyAlignment="1">
      <alignment horizontal="center"/>
      <protection/>
    </xf>
    <xf numFmtId="164" fontId="9" fillId="33" borderId="13" xfId="64" applyNumberFormat="1" applyFont="1" applyFill="1" applyBorder="1" applyAlignment="1">
      <alignment horizontal="center"/>
      <protection/>
    </xf>
    <xf numFmtId="164" fontId="9" fillId="33" borderId="14" xfId="64" applyNumberFormat="1" applyFont="1" applyFill="1" applyBorder="1" applyAlignment="1">
      <alignment horizontal="center"/>
      <protection/>
    </xf>
    <xf numFmtId="164" fontId="9" fillId="33" borderId="12" xfId="0" applyNumberFormat="1" applyFont="1" applyFill="1" applyBorder="1" applyAlignment="1">
      <alignment horizontal="center"/>
    </xf>
    <xf numFmtId="164" fontId="9" fillId="33" borderId="13" xfId="0" applyNumberFormat="1" applyFont="1" applyFill="1" applyBorder="1" applyAlignment="1">
      <alignment horizontal="center"/>
    </xf>
    <xf numFmtId="164" fontId="9" fillId="33" borderId="14" xfId="0" applyNumberFormat="1" applyFont="1" applyFill="1" applyBorder="1" applyAlignment="1">
      <alignment horizontal="center"/>
    </xf>
    <xf numFmtId="6" fontId="5" fillId="0" borderId="0" xfId="0" applyNumberFormat="1" applyFont="1" applyAlignment="1">
      <alignment horizontal="center"/>
    </xf>
    <xf numFmtId="6" fontId="6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7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te" xfId="65"/>
    <cellStyle name="Output" xfId="66"/>
    <cellStyle name="Percent" xfId="67"/>
    <cellStyle name="Style 1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628650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657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</xdr:col>
      <xdr:colOff>47625</xdr:colOff>
      <xdr:row>4</xdr:row>
      <xdr:rowOff>123825</xdr:rowOff>
    </xdr:to>
    <xdr:pic>
      <xdr:nvPicPr>
        <xdr:cNvPr id="1" name="Picture 1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</xdr:col>
      <xdr:colOff>47625</xdr:colOff>
      <xdr:row>4</xdr:row>
      <xdr:rowOff>123825</xdr:rowOff>
    </xdr:to>
    <xdr:pic>
      <xdr:nvPicPr>
        <xdr:cNvPr id="1" name="Picture 1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</xdr:col>
      <xdr:colOff>47625</xdr:colOff>
      <xdr:row>4</xdr:row>
      <xdr:rowOff>123825</xdr:rowOff>
    </xdr:to>
    <xdr:pic>
      <xdr:nvPicPr>
        <xdr:cNvPr id="1" name="Picture 1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</xdr:col>
      <xdr:colOff>47625</xdr:colOff>
      <xdr:row>4</xdr:row>
      <xdr:rowOff>123825</xdr:rowOff>
    </xdr:to>
    <xdr:pic>
      <xdr:nvPicPr>
        <xdr:cNvPr id="1" name="Picture 1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</xdr:col>
      <xdr:colOff>47625</xdr:colOff>
      <xdr:row>4</xdr:row>
      <xdr:rowOff>123825</xdr:rowOff>
    </xdr:to>
    <xdr:pic>
      <xdr:nvPicPr>
        <xdr:cNvPr id="1" name="Picture 1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</xdr:col>
      <xdr:colOff>47625</xdr:colOff>
      <xdr:row>4</xdr:row>
      <xdr:rowOff>123825</xdr:rowOff>
    </xdr:to>
    <xdr:pic>
      <xdr:nvPicPr>
        <xdr:cNvPr id="1" name="Picture 1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</xdr:col>
      <xdr:colOff>47625</xdr:colOff>
      <xdr:row>4</xdr:row>
      <xdr:rowOff>123825</xdr:rowOff>
    </xdr:to>
    <xdr:pic>
      <xdr:nvPicPr>
        <xdr:cNvPr id="1" name="Picture 3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133350</xdr:rowOff>
    </xdr:from>
    <xdr:to>
      <xdr:col>1</xdr:col>
      <xdr:colOff>47625</xdr:colOff>
      <xdr:row>4</xdr:row>
      <xdr:rowOff>114300</xdr:rowOff>
    </xdr:to>
    <xdr:pic>
      <xdr:nvPicPr>
        <xdr:cNvPr id="1" name="Picture 3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104775</xdr:rowOff>
    </xdr:from>
    <xdr:to>
      <xdr:col>1</xdr:col>
      <xdr:colOff>47625</xdr:colOff>
      <xdr:row>4</xdr:row>
      <xdr:rowOff>123825</xdr:rowOff>
    </xdr:to>
    <xdr:pic>
      <xdr:nvPicPr>
        <xdr:cNvPr id="1" name="Picture 3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942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1</xdr:col>
      <xdr:colOff>47625</xdr:colOff>
      <xdr:row>4</xdr:row>
      <xdr:rowOff>142875</xdr:rowOff>
    </xdr:to>
    <xdr:pic>
      <xdr:nvPicPr>
        <xdr:cNvPr id="1" name="Picture 3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628650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657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628650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657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628650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657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628650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657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</xdr:col>
      <xdr:colOff>47625</xdr:colOff>
      <xdr:row>4</xdr:row>
      <xdr:rowOff>123825</xdr:rowOff>
    </xdr:to>
    <xdr:pic>
      <xdr:nvPicPr>
        <xdr:cNvPr id="1" name="Picture 1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</xdr:col>
      <xdr:colOff>47625</xdr:colOff>
      <xdr:row>4</xdr:row>
      <xdr:rowOff>123825</xdr:rowOff>
    </xdr:to>
    <xdr:pic>
      <xdr:nvPicPr>
        <xdr:cNvPr id="1" name="Picture 1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</xdr:col>
      <xdr:colOff>47625</xdr:colOff>
      <xdr:row>4</xdr:row>
      <xdr:rowOff>123825</xdr:rowOff>
    </xdr:to>
    <xdr:pic>
      <xdr:nvPicPr>
        <xdr:cNvPr id="1" name="Picture 1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</xdr:col>
      <xdr:colOff>47625</xdr:colOff>
      <xdr:row>4</xdr:row>
      <xdr:rowOff>123825</xdr:rowOff>
    </xdr:to>
    <xdr:pic>
      <xdr:nvPicPr>
        <xdr:cNvPr id="1" name="Picture 1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16.00390625" style="38" customWidth="1"/>
    <col min="2" max="5" width="16.00390625" style="35" customWidth="1"/>
    <col min="6" max="6" width="16.00390625" style="37" customWidth="1"/>
    <col min="7" max="7" width="16.00390625" style="35" customWidth="1"/>
    <col min="8" max="16384" width="9.140625" style="36" customWidth="1"/>
  </cols>
  <sheetData>
    <row r="1" spans="1:8" ht="18">
      <c r="A1" s="63" t="s">
        <v>15</v>
      </c>
      <c r="B1" s="63"/>
      <c r="C1" s="63"/>
      <c r="D1" s="63"/>
      <c r="E1" s="63"/>
      <c r="F1" s="63"/>
      <c r="G1" s="63"/>
      <c r="H1" s="60"/>
    </row>
    <row r="2" spans="1:8" ht="15">
      <c r="A2" s="64" t="s">
        <v>16</v>
      </c>
      <c r="B2" s="64"/>
      <c r="C2" s="64"/>
      <c r="D2" s="64"/>
      <c r="E2" s="64"/>
      <c r="F2" s="64"/>
      <c r="G2" s="64"/>
      <c r="H2" s="59"/>
    </row>
    <row r="3" spans="1:8" s="52" customFormat="1" ht="15">
      <c r="A3" s="64" t="s">
        <v>17</v>
      </c>
      <c r="B3" s="64"/>
      <c r="C3" s="64"/>
      <c r="D3" s="64"/>
      <c r="E3" s="64"/>
      <c r="F3" s="64"/>
      <c r="G3" s="64"/>
      <c r="H3" s="59"/>
    </row>
    <row r="4" spans="1:8" s="52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52" customFormat="1" ht="14.25">
      <c r="A5" s="66" t="s">
        <v>19</v>
      </c>
      <c r="B5" s="66"/>
      <c r="C5" s="66"/>
      <c r="D5" s="66"/>
      <c r="E5" s="66"/>
      <c r="F5" s="66"/>
      <c r="G5" s="66"/>
      <c r="H5" s="58"/>
    </row>
    <row r="6" spans="1:8" s="52" customFormat="1" ht="14.25">
      <c r="A6" s="57"/>
      <c r="B6" s="57"/>
      <c r="C6" s="57"/>
      <c r="D6" s="57"/>
      <c r="E6" s="57"/>
      <c r="F6" s="57"/>
      <c r="G6" s="57"/>
      <c r="H6" s="57"/>
    </row>
    <row r="7" spans="1:7" s="56" customFormat="1" ht="14.25" customHeight="1">
      <c r="A7" s="67" t="s">
        <v>37</v>
      </c>
      <c r="B7" s="68"/>
      <c r="C7" s="68"/>
      <c r="D7" s="68"/>
      <c r="E7" s="68"/>
      <c r="F7" s="68"/>
      <c r="G7" s="69"/>
    </row>
    <row r="8" spans="1:7" s="52" customFormat="1" ht="9" customHeight="1">
      <c r="A8" s="38"/>
      <c r="B8" s="55"/>
      <c r="C8" s="55"/>
      <c r="D8" s="55"/>
      <c r="E8" s="53"/>
      <c r="F8" s="54"/>
      <c r="G8" s="53"/>
    </row>
    <row r="9" spans="1:7" s="45" customFormat="1" ht="12">
      <c r="A9" s="51"/>
      <c r="B9" s="49" t="s">
        <v>0</v>
      </c>
      <c r="C9" s="49" t="s">
        <v>21</v>
      </c>
      <c r="D9" s="49" t="s">
        <v>0</v>
      </c>
      <c r="E9" s="49"/>
      <c r="F9" s="50" t="s">
        <v>1</v>
      </c>
      <c r="G9" s="49" t="s">
        <v>2</v>
      </c>
    </row>
    <row r="10" spans="1:7" s="45" customFormat="1" ht="12">
      <c r="A10" s="48" t="s">
        <v>11</v>
      </c>
      <c r="B10" s="46" t="s">
        <v>3</v>
      </c>
      <c r="C10" s="46" t="s">
        <v>24</v>
      </c>
      <c r="D10" s="46" t="s">
        <v>4</v>
      </c>
      <c r="E10" s="46" t="s">
        <v>5</v>
      </c>
      <c r="F10" s="47" t="s">
        <v>6</v>
      </c>
      <c r="G10" s="46" t="s">
        <v>7</v>
      </c>
    </row>
    <row r="12" spans="1:7" ht="12.75">
      <c r="A12" s="22">
        <v>45381</v>
      </c>
      <c r="B12" s="35">
        <v>182358992.13</v>
      </c>
      <c r="C12" s="35">
        <v>703575.7600000001</v>
      </c>
      <c r="D12" s="35">
        <f aca="true" t="shared" si="0" ref="D12:D64">IF(ISBLANK(B12),"",B12-C12-E12)</f>
        <v>169222794.79</v>
      </c>
      <c r="E12" s="35">
        <v>12432621.580000006</v>
      </c>
      <c r="F12" s="37">
        <v>4425</v>
      </c>
      <c r="G12" s="35">
        <f aca="true" t="shared" si="1" ref="G12:G63">IF(ISBLANK(B12),"",E12/F12/7)</f>
        <v>401.3759993543182</v>
      </c>
    </row>
    <row r="13" spans="1:7" ht="12.75">
      <c r="A13" s="44">
        <f aca="true" t="shared" si="2" ref="A13:A63">+A12+7</f>
        <v>45388</v>
      </c>
      <c r="B13" s="35">
        <v>182532848.48000002</v>
      </c>
      <c r="C13" s="35">
        <v>775257.1699999999</v>
      </c>
      <c r="D13" s="35">
        <f t="shared" si="0"/>
        <v>169248756.21000004</v>
      </c>
      <c r="E13" s="35">
        <v>12508835.1</v>
      </c>
      <c r="F13" s="37">
        <v>4425</v>
      </c>
      <c r="G13" s="35">
        <f t="shared" si="1"/>
        <v>403.8364842615012</v>
      </c>
    </row>
    <row r="14" spans="1:7" ht="12.75">
      <c r="A14" s="44">
        <f t="shared" si="2"/>
        <v>45395</v>
      </c>
      <c r="B14" s="35">
        <v>180649668.32</v>
      </c>
      <c r="C14" s="35">
        <v>725209.1900000001</v>
      </c>
      <c r="D14" s="35">
        <f t="shared" si="0"/>
        <v>167699716.75</v>
      </c>
      <c r="E14" s="35">
        <v>12224742.379999999</v>
      </c>
      <c r="F14" s="37">
        <v>4405</v>
      </c>
      <c r="G14" s="35">
        <f t="shared" si="1"/>
        <v>396.4567011512891</v>
      </c>
    </row>
    <row r="15" spans="1:7" ht="12.75">
      <c r="A15" s="44">
        <f t="shared" si="2"/>
        <v>45402</v>
      </c>
      <c r="B15" s="35">
        <v>179235822.92</v>
      </c>
      <c r="C15" s="35">
        <v>441946.20000000024</v>
      </c>
      <c r="D15" s="35">
        <f t="shared" si="0"/>
        <v>166405466.71</v>
      </c>
      <c r="E15" s="35">
        <v>12388410.010000004</v>
      </c>
      <c r="F15" s="37">
        <v>4412</v>
      </c>
      <c r="G15" s="35">
        <f t="shared" si="1"/>
        <v>401.1271211630619</v>
      </c>
    </row>
    <row r="16" spans="1:7" ht="12.75">
      <c r="A16" s="44">
        <f t="shared" si="2"/>
        <v>45409</v>
      </c>
      <c r="B16" s="35">
        <v>183399237.3</v>
      </c>
      <c r="C16" s="35">
        <v>749063.26</v>
      </c>
      <c r="D16" s="35">
        <f t="shared" si="0"/>
        <v>170156210.40000004</v>
      </c>
      <c r="E16" s="35">
        <v>12493963.639999997</v>
      </c>
      <c r="F16" s="37">
        <v>4430</v>
      </c>
      <c r="G16" s="35">
        <f t="shared" si="1"/>
        <v>402.9011170590131</v>
      </c>
    </row>
    <row r="17" spans="1:7" ht="12.75">
      <c r="A17" s="44">
        <f t="shared" si="2"/>
        <v>45416</v>
      </c>
      <c r="D17" s="35">
        <f t="shared" si="0"/>
      </c>
      <c r="G17" s="35">
        <f t="shared" si="1"/>
      </c>
    </row>
    <row r="18" spans="1:7" ht="12.75">
      <c r="A18" s="44">
        <f t="shared" si="2"/>
        <v>45423</v>
      </c>
      <c r="D18" s="35">
        <f t="shared" si="0"/>
      </c>
      <c r="G18" s="35">
        <f t="shared" si="1"/>
      </c>
    </row>
    <row r="19" spans="1:7" ht="12.75">
      <c r="A19" s="44">
        <f t="shared" si="2"/>
        <v>45430</v>
      </c>
      <c r="D19" s="35">
        <f t="shared" si="0"/>
      </c>
      <c r="G19" s="35">
        <f t="shared" si="1"/>
      </c>
    </row>
    <row r="20" spans="1:7" ht="12.75">
      <c r="A20" s="44">
        <f t="shared" si="2"/>
        <v>45437</v>
      </c>
      <c r="D20" s="35">
        <f t="shared" si="0"/>
      </c>
      <c r="G20" s="35">
        <f t="shared" si="1"/>
      </c>
    </row>
    <row r="21" spans="1:7" ht="12.75">
      <c r="A21" s="44">
        <f t="shared" si="2"/>
        <v>45444</v>
      </c>
      <c r="D21" s="35">
        <f t="shared" si="0"/>
      </c>
      <c r="G21" s="35">
        <f t="shared" si="1"/>
      </c>
    </row>
    <row r="22" spans="1:7" ht="12.75">
      <c r="A22" s="44">
        <f t="shared" si="2"/>
        <v>45451</v>
      </c>
      <c r="D22" s="35">
        <f t="shared" si="0"/>
      </c>
      <c r="G22" s="35">
        <f t="shared" si="1"/>
      </c>
    </row>
    <row r="23" spans="1:7" ht="12.75">
      <c r="A23" s="44">
        <f t="shared" si="2"/>
        <v>45458</v>
      </c>
      <c r="D23" s="35">
        <f t="shared" si="0"/>
      </c>
      <c r="G23" s="35">
        <f t="shared" si="1"/>
      </c>
    </row>
    <row r="24" spans="1:7" ht="12.75">
      <c r="A24" s="44">
        <f t="shared" si="2"/>
        <v>45465</v>
      </c>
      <c r="D24" s="35">
        <f t="shared" si="0"/>
      </c>
      <c r="G24" s="35">
        <f t="shared" si="1"/>
      </c>
    </row>
    <row r="25" spans="1:16" ht="12.75">
      <c r="A25" s="44">
        <f t="shared" si="2"/>
        <v>45472</v>
      </c>
      <c r="D25" s="35">
        <f t="shared" si="0"/>
      </c>
      <c r="G25" s="35">
        <f t="shared" si="1"/>
      </c>
      <c r="P25" s="36" t="s">
        <v>35</v>
      </c>
    </row>
    <row r="26" spans="1:7" ht="12.75">
      <c r="A26" s="44">
        <f t="shared" si="2"/>
        <v>45479</v>
      </c>
      <c r="D26" s="35">
        <f t="shared" si="0"/>
      </c>
      <c r="G26" s="35">
        <f t="shared" si="1"/>
      </c>
    </row>
    <row r="27" spans="1:7" ht="12.75">
      <c r="A27" s="44">
        <f t="shared" si="2"/>
        <v>45486</v>
      </c>
      <c r="D27" s="35">
        <f t="shared" si="0"/>
      </c>
      <c r="G27" s="35">
        <f t="shared" si="1"/>
      </c>
    </row>
    <row r="28" spans="1:7" ht="12.75">
      <c r="A28" s="44">
        <f t="shared" si="2"/>
        <v>45493</v>
      </c>
      <c r="D28" s="35">
        <f t="shared" si="0"/>
      </c>
      <c r="G28" s="35">
        <f t="shared" si="1"/>
      </c>
    </row>
    <row r="29" spans="1:7" ht="12.75">
      <c r="A29" s="44">
        <f t="shared" si="2"/>
        <v>45500</v>
      </c>
      <c r="D29" s="35">
        <f t="shared" si="0"/>
      </c>
      <c r="G29" s="35">
        <f t="shared" si="1"/>
      </c>
    </row>
    <row r="30" spans="1:7" ht="12.75">
      <c r="A30" s="44">
        <f t="shared" si="2"/>
        <v>45507</v>
      </c>
      <c r="D30" s="35">
        <f t="shared" si="0"/>
      </c>
      <c r="G30" s="35">
        <f t="shared" si="1"/>
      </c>
    </row>
    <row r="31" spans="1:7" ht="12.75">
      <c r="A31" s="44">
        <f t="shared" si="2"/>
        <v>45514</v>
      </c>
      <c r="D31" s="35">
        <f t="shared" si="0"/>
      </c>
      <c r="G31" s="35">
        <f t="shared" si="1"/>
      </c>
    </row>
    <row r="32" spans="1:7" ht="12.75">
      <c r="A32" s="44">
        <f t="shared" si="2"/>
        <v>45521</v>
      </c>
      <c r="D32" s="35">
        <f t="shared" si="0"/>
      </c>
      <c r="G32" s="35">
        <f t="shared" si="1"/>
      </c>
    </row>
    <row r="33" spans="1:7" ht="12.75">
      <c r="A33" s="44">
        <f t="shared" si="2"/>
        <v>45528</v>
      </c>
      <c r="D33" s="35">
        <f t="shared" si="0"/>
      </c>
      <c r="G33" s="35">
        <f t="shared" si="1"/>
      </c>
    </row>
    <row r="34" spans="1:7" ht="12.75">
      <c r="A34" s="44">
        <f t="shared" si="2"/>
        <v>45535</v>
      </c>
      <c r="D34" s="35">
        <f t="shared" si="0"/>
      </c>
      <c r="G34" s="35">
        <f t="shared" si="1"/>
      </c>
    </row>
    <row r="35" spans="1:7" ht="12.75">
      <c r="A35" s="44">
        <f t="shared" si="2"/>
        <v>45542</v>
      </c>
      <c r="D35" s="35">
        <f t="shared" si="0"/>
      </c>
      <c r="G35" s="35">
        <f t="shared" si="1"/>
      </c>
    </row>
    <row r="36" spans="1:7" ht="12.75">
      <c r="A36" s="44">
        <f t="shared" si="2"/>
        <v>45549</v>
      </c>
      <c r="C36" s="62"/>
      <c r="D36" s="35">
        <f t="shared" si="0"/>
      </c>
      <c r="G36" s="35">
        <f t="shared" si="1"/>
      </c>
    </row>
    <row r="37" spans="1:7" ht="12.75">
      <c r="A37" s="44">
        <f t="shared" si="2"/>
        <v>45556</v>
      </c>
      <c r="D37" s="35">
        <f t="shared" si="0"/>
      </c>
      <c r="G37" s="35">
        <f t="shared" si="1"/>
      </c>
    </row>
    <row r="38" spans="1:7" ht="12.75">
      <c r="A38" s="44">
        <f t="shared" si="2"/>
        <v>45563</v>
      </c>
      <c r="D38" s="35">
        <f t="shared" si="0"/>
      </c>
      <c r="G38" s="35">
        <f t="shared" si="1"/>
      </c>
    </row>
    <row r="39" spans="1:7" ht="12.75">
      <c r="A39" s="44">
        <f t="shared" si="2"/>
        <v>45570</v>
      </c>
      <c r="B39" s="61"/>
      <c r="C39" s="61"/>
      <c r="D39" s="35">
        <f t="shared" si="0"/>
      </c>
      <c r="E39" s="61"/>
      <c r="G39" s="35">
        <f t="shared" si="1"/>
      </c>
    </row>
    <row r="40" spans="1:7" ht="12.75">
      <c r="A40" s="44">
        <f t="shared" si="2"/>
        <v>45577</v>
      </c>
      <c r="D40" s="35">
        <f t="shared" si="0"/>
      </c>
      <c r="G40" s="35">
        <f t="shared" si="1"/>
      </c>
    </row>
    <row r="41" spans="1:7" ht="12.75">
      <c r="A41" s="44">
        <f t="shared" si="2"/>
        <v>45584</v>
      </c>
      <c r="D41" s="35">
        <f t="shared" si="0"/>
      </c>
      <c r="G41" s="35">
        <f t="shared" si="1"/>
      </c>
    </row>
    <row r="42" spans="1:7" ht="12.75">
      <c r="A42" s="44">
        <f t="shared" si="2"/>
        <v>45591</v>
      </c>
      <c r="D42" s="35">
        <f t="shared" si="0"/>
      </c>
      <c r="G42" s="35">
        <f t="shared" si="1"/>
      </c>
    </row>
    <row r="43" spans="1:7" ht="12.75">
      <c r="A43" s="44">
        <f t="shared" si="2"/>
        <v>45598</v>
      </c>
      <c r="D43" s="35">
        <f t="shared" si="0"/>
      </c>
      <c r="G43" s="35">
        <f t="shared" si="1"/>
      </c>
    </row>
    <row r="44" spans="1:7" ht="12.75">
      <c r="A44" s="44">
        <f t="shared" si="2"/>
        <v>45605</v>
      </c>
      <c r="D44" s="35">
        <f t="shared" si="0"/>
      </c>
      <c r="G44" s="35">
        <f t="shared" si="1"/>
      </c>
    </row>
    <row r="45" spans="1:7" ht="12.75">
      <c r="A45" s="44">
        <f t="shared" si="2"/>
        <v>45612</v>
      </c>
      <c r="D45" s="35">
        <f t="shared" si="0"/>
      </c>
      <c r="G45" s="35">
        <f t="shared" si="1"/>
      </c>
    </row>
    <row r="46" spans="1:7" ht="12.75">
      <c r="A46" s="44">
        <f t="shared" si="2"/>
        <v>45619</v>
      </c>
      <c r="D46" s="35">
        <f t="shared" si="0"/>
      </c>
      <c r="G46" s="35">
        <f t="shared" si="1"/>
      </c>
    </row>
    <row r="47" spans="1:7" ht="12.75">
      <c r="A47" s="44">
        <f t="shared" si="2"/>
        <v>45626</v>
      </c>
      <c r="D47" s="35">
        <f t="shared" si="0"/>
      </c>
      <c r="G47" s="35">
        <f t="shared" si="1"/>
      </c>
    </row>
    <row r="48" spans="1:7" ht="12.75">
      <c r="A48" s="44">
        <f t="shared" si="2"/>
        <v>45633</v>
      </c>
      <c r="D48" s="35">
        <f t="shared" si="0"/>
      </c>
      <c r="G48" s="35">
        <f t="shared" si="1"/>
      </c>
    </row>
    <row r="49" spans="1:7" ht="12.75">
      <c r="A49" s="44">
        <f t="shared" si="2"/>
        <v>45640</v>
      </c>
      <c r="C49" s="62"/>
      <c r="D49" s="35">
        <f t="shared" si="0"/>
      </c>
      <c r="G49" s="35">
        <f t="shared" si="1"/>
      </c>
    </row>
    <row r="50" spans="1:7" ht="12.75">
      <c r="A50" s="44">
        <f t="shared" si="2"/>
        <v>45647</v>
      </c>
      <c r="D50" s="35">
        <f t="shared" si="0"/>
      </c>
      <c r="G50" s="35">
        <f t="shared" si="1"/>
      </c>
    </row>
    <row r="51" spans="1:7" ht="12.75">
      <c r="A51" s="44">
        <f t="shared" si="2"/>
        <v>45654</v>
      </c>
      <c r="D51" s="35">
        <f t="shared" si="0"/>
      </c>
      <c r="G51" s="35">
        <f t="shared" si="1"/>
      </c>
    </row>
    <row r="52" spans="1:7" ht="12.75">
      <c r="A52" s="44">
        <f t="shared" si="2"/>
        <v>45661</v>
      </c>
      <c r="D52" s="35">
        <f t="shared" si="0"/>
      </c>
      <c r="G52" s="35">
        <f t="shared" si="1"/>
      </c>
    </row>
    <row r="53" spans="1:7" ht="12.75">
      <c r="A53" s="44">
        <f t="shared" si="2"/>
        <v>45668</v>
      </c>
      <c r="C53" s="62"/>
      <c r="D53" s="35">
        <f t="shared" si="0"/>
      </c>
      <c r="G53" s="35">
        <f t="shared" si="1"/>
      </c>
    </row>
    <row r="54" spans="1:7" ht="12.75">
      <c r="A54" s="44">
        <f t="shared" si="2"/>
        <v>45675</v>
      </c>
      <c r="D54" s="35">
        <f t="shared" si="0"/>
      </c>
      <c r="G54" s="35">
        <f t="shared" si="1"/>
      </c>
    </row>
    <row r="55" spans="1:7" ht="12.75">
      <c r="A55" s="44">
        <f t="shared" si="2"/>
        <v>45682</v>
      </c>
      <c r="D55" s="35">
        <f t="shared" si="0"/>
      </c>
      <c r="G55" s="35">
        <f t="shared" si="1"/>
      </c>
    </row>
    <row r="56" spans="1:7" ht="12.75">
      <c r="A56" s="44">
        <f t="shared" si="2"/>
        <v>45689</v>
      </c>
      <c r="D56" s="35">
        <f t="shared" si="0"/>
      </c>
      <c r="G56" s="35">
        <f t="shared" si="1"/>
      </c>
    </row>
    <row r="57" spans="1:7" ht="12.75">
      <c r="A57" s="44">
        <f t="shared" si="2"/>
        <v>45696</v>
      </c>
      <c r="D57" s="35">
        <f t="shared" si="0"/>
      </c>
      <c r="G57" s="35">
        <f t="shared" si="1"/>
      </c>
    </row>
    <row r="58" spans="1:7" ht="12.75">
      <c r="A58" s="44">
        <f t="shared" si="2"/>
        <v>45703</v>
      </c>
      <c r="D58" s="35">
        <f t="shared" si="0"/>
      </c>
      <c r="G58" s="35">
        <f t="shared" si="1"/>
      </c>
    </row>
    <row r="59" spans="1:7" ht="12.75">
      <c r="A59" s="44">
        <f t="shared" si="2"/>
        <v>45710</v>
      </c>
      <c r="D59" s="35">
        <f t="shared" si="0"/>
      </c>
      <c r="G59" s="35">
        <f t="shared" si="1"/>
      </c>
    </row>
    <row r="60" spans="1:7" ht="12.75">
      <c r="A60" s="44">
        <f t="shared" si="2"/>
        <v>45717</v>
      </c>
      <c r="D60" s="35">
        <f t="shared" si="0"/>
      </c>
      <c r="G60" s="35">
        <f t="shared" si="1"/>
      </c>
    </row>
    <row r="61" spans="1:7" ht="12.75">
      <c r="A61" s="44">
        <f t="shared" si="2"/>
        <v>45724</v>
      </c>
      <c r="D61" s="35">
        <f t="shared" si="0"/>
      </c>
      <c r="G61" s="35">
        <f t="shared" si="1"/>
      </c>
    </row>
    <row r="62" spans="1:7" ht="12.75">
      <c r="A62" s="44">
        <f t="shared" si="2"/>
        <v>45731</v>
      </c>
      <c r="D62" s="35">
        <f t="shared" si="0"/>
      </c>
      <c r="G62" s="35">
        <f t="shared" si="1"/>
      </c>
    </row>
    <row r="63" spans="1:7" ht="12.75">
      <c r="A63" s="44">
        <f t="shared" si="2"/>
        <v>45738</v>
      </c>
      <c r="D63" s="35">
        <f t="shared" si="0"/>
      </c>
      <c r="G63" s="35">
        <f t="shared" si="1"/>
      </c>
    </row>
    <row r="64" spans="1:4" ht="12.75">
      <c r="A64" s="44"/>
      <c r="D64" s="35">
        <f t="shared" si="0"/>
      </c>
    </row>
    <row r="65" ht="12.75">
      <c r="A65" s="44"/>
    </row>
    <row r="66" spans="1:7" ht="13.5" thickBot="1">
      <c r="A66" s="38" t="s">
        <v>8</v>
      </c>
      <c r="B66" s="17">
        <f>IF(SUM(B12:B65)=0,"",SUM(B12:B65))</f>
        <v>908176569.1500001</v>
      </c>
      <c r="C66" s="17">
        <f>IF(SUM(C12:C65)=0,"",SUM(C12:C65))</f>
        <v>3395051.58</v>
      </c>
      <c r="D66" s="17">
        <f>IF(SUM(D12:D65)=0,"",SUM(D12:D65))</f>
        <v>842732944.8600001</v>
      </c>
      <c r="E66" s="17">
        <f>IF(SUM(E12:E65)=0,"",SUM(E12:E65))</f>
        <v>62048572.71000001</v>
      </c>
      <c r="F66" s="24">
        <f>_xlfn.IFERROR(SUM(F12:F63)/COUNT(F12:F63)," ")</f>
        <v>4419.4</v>
      </c>
      <c r="G66" s="42">
        <f>_xlfn.IFERROR(E66/SUM(F12:F64)/7," ")</f>
        <v>401.1441288733442</v>
      </c>
    </row>
    <row r="67" spans="1:5" s="39" customFormat="1" ht="13.5" thickTop="1">
      <c r="A67" s="41"/>
      <c r="B67" s="40"/>
      <c r="C67" s="40"/>
      <c r="D67" s="40"/>
      <c r="E67" s="4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pane ySplit="11" topLeftCell="A59" activePane="bottomLeft" state="frozen"/>
      <selection pane="topLeft" activeCell="A1" sqref="A1"/>
      <selection pane="bottomLeft" activeCell="B66" sqref="B66"/>
    </sheetView>
  </sheetViews>
  <sheetFormatPr defaultColWidth="9.140625" defaultRowHeight="12.75"/>
  <cols>
    <col min="1" max="1" width="16.00390625" style="3" customWidth="1"/>
    <col min="2" max="5" width="16.00390625" style="15" customWidth="1"/>
    <col min="6" max="6" width="16.00390625" style="16" customWidth="1"/>
    <col min="7" max="7" width="16.00390625" style="15" customWidth="1"/>
  </cols>
  <sheetData>
    <row r="1" spans="1:8" ht="18">
      <c r="A1" s="73" t="s">
        <v>15</v>
      </c>
      <c r="B1" s="73"/>
      <c r="C1" s="73"/>
      <c r="D1" s="73"/>
      <c r="E1" s="73"/>
      <c r="F1" s="73"/>
      <c r="G1" s="73"/>
      <c r="H1" s="26"/>
    </row>
    <row r="2" spans="1:8" ht="15">
      <c r="A2" s="74" t="s">
        <v>16</v>
      </c>
      <c r="B2" s="74"/>
      <c r="C2" s="74"/>
      <c r="D2" s="74"/>
      <c r="E2" s="74"/>
      <c r="F2" s="74"/>
      <c r="G2" s="74"/>
      <c r="H2" s="27"/>
    </row>
    <row r="3" spans="1:8" s="1" customFormat="1" ht="15">
      <c r="A3" s="74" t="s">
        <v>17</v>
      </c>
      <c r="B3" s="74"/>
      <c r="C3" s="74"/>
      <c r="D3" s="74"/>
      <c r="E3" s="74"/>
      <c r="F3" s="74"/>
      <c r="G3" s="74"/>
      <c r="H3" s="27"/>
    </row>
    <row r="4" spans="1:8" s="1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1" customFormat="1" ht="14.25">
      <c r="A5" s="75" t="s">
        <v>19</v>
      </c>
      <c r="B5" s="75"/>
      <c r="C5" s="75"/>
      <c r="D5" s="75"/>
      <c r="E5" s="75"/>
      <c r="F5" s="75"/>
      <c r="G5" s="75"/>
      <c r="H5" s="29"/>
    </row>
    <row r="6" spans="1:8" s="1" customFormat="1" ht="14.25">
      <c r="A6" s="2"/>
      <c r="B6" s="2"/>
      <c r="C6" s="2"/>
      <c r="D6" s="2"/>
      <c r="E6" s="2"/>
      <c r="F6" s="2"/>
      <c r="G6" s="2"/>
      <c r="H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70" t="s">
        <v>27</v>
      </c>
      <c r="B8" s="71"/>
      <c r="C8" s="71"/>
      <c r="D8" s="71"/>
      <c r="E8" s="71"/>
      <c r="F8" s="71"/>
      <c r="G8" s="72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21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42091</v>
      </c>
      <c r="B13" s="15">
        <v>177571083</v>
      </c>
      <c r="C13" s="15">
        <v>1303168.04</v>
      </c>
      <c r="D13" s="15">
        <f aca="true" t="shared" si="0" ref="D13:D65">+B13-C13-E13</f>
        <v>164700748.96</v>
      </c>
      <c r="E13" s="15">
        <v>11567166</v>
      </c>
      <c r="F13" s="16">
        <f aca="true" t="shared" si="1" ref="F13:F18">37079/7</f>
        <v>5297</v>
      </c>
      <c r="G13" s="15">
        <v>312</v>
      </c>
    </row>
    <row r="14" spans="1:7" ht="12.75">
      <c r="A14" s="22">
        <f aca="true" t="shared" si="2" ref="A14:A65">+A13+7</f>
        <v>42098</v>
      </c>
      <c r="B14" s="15">
        <v>189325946</v>
      </c>
      <c r="C14" s="15">
        <f>1832717.34-19560</f>
        <v>1813157.34</v>
      </c>
      <c r="D14" s="15">
        <f t="shared" si="0"/>
        <v>175230815.66</v>
      </c>
      <c r="E14" s="15">
        <v>12281973</v>
      </c>
      <c r="F14" s="16">
        <f t="shared" si="1"/>
        <v>5297</v>
      </c>
      <c r="G14" s="15">
        <v>331</v>
      </c>
    </row>
    <row r="15" spans="1:7" ht="12.75">
      <c r="A15" s="22">
        <f t="shared" si="2"/>
        <v>42105</v>
      </c>
      <c r="B15" s="15">
        <v>192008841</v>
      </c>
      <c r="C15" s="15">
        <v>1605615.64</v>
      </c>
      <c r="D15" s="15">
        <f t="shared" si="0"/>
        <v>178282089.36</v>
      </c>
      <c r="E15" s="15">
        <v>12121136</v>
      </c>
      <c r="F15" s="16">
        <f t="shared" si="1"/>
        <v>5297</v>
      </c>
      <c r="G15" s="15">
        <v>327</v>
      </c>
    </row>
    <row r="16" spans="1:7" ht="12.75">
      <c r="A16" s="22">
        <f t="shared" si="2"/>
        <v>42112</v>
      </c>
      <c r="B16" s="15">
        <v>183909253</v>
      </c>
      <c r="C16" s="15">
        <v>1593228.46</v>
      </c>
      <c r="D16" s="15">
        <f t="shared" si="0"/>
        <v>170839597.54</v>
      </c>
      <c r="E16" s="15">
        <v>11476427</v>
      </c>
      <c r="F16" s="16">
        <f t="shared" si="1"/>
        <v>5297</v>
      </c>
      <c r="G16" s="15">
        <v>310</v>
      </c>
    </row>
    <row r="17" spans="1:7" ht="12.75">
      <c r="A17" s="22">
        <f t="shared" si="2"/>
        <v>42119</v>
      </c>
      <c r="B17" s="15">
        <v>179376148</v>
      </c>
      <c r="C17" s="15">
        <v>1564383.08</v>
      </c>
      <c r="D17" s="15">
        <f t="shared" si="0"/>
        <v>166426865.92</v>
      </c>
      <c r="E17" s="15">
        <v>11384899</v>
      </c>
      <c r="F17" s="16">
        <f t="shared" si="1"/>
        <v>5297</v>
      </c>
      <c r="G17" s="15">
        <v>307</v>
      </c>
    </row>
    <row r="18" spans="1:7" ht="12.75">
      <c r="A18" s="22">
        <f t="shared" si="2"/>
        <v>42126</v>
      </c>
      <c r="B18" s="15">
        <v>179830508</v>
      </c>
      <c r="C18" s="15">
        <v>1772694.32</v>
      </c>
      <c r="D18" s="15">
        <f t="shared" si="0"/>
        <v>166633982.68</v>
      </c>
      <c r="E18" s="15">
        <v>11423831</v>
      </c>
      <c r="F18" s="16">
        <f t="shared" si="1"/>
        <v>5297</v>
      </c>
      <c r="G18" s="15">
        <v>308</v>
      </c>
    </row>
    <row r="19" spans="1:7" ht="12.75">
      <c r="A19" s="22">
        <f t="shared" si="2"/>
        <v>42133</v>
      </c>
      <c r="B19" s="15">
        <v>174466175</v>
      </c>
      <c r="C19" s="15">
        <v>1743099.07</v>
      </c>
      <c r="D19" s="15">
        <f t="shared" si="0"/>
        <v>161008346.93</v>
      </c>
      <c r="E19" s="15">
        <v>11714729</v>
      </c>
      <c r="F19" s="16">
        <f aca="true" t="shared" si="3" ref="F19:F24">37079/7</f>
        <v>5297</v>
      </c>
      <c r="G19" s="15">
        <v>316</v>
      </c>
    </row>
    <row r="20" spans="1:7" ht="12.75">
      <c r="A20" s="22">
        <f t="shared" si="2"/>
        <v>42140</v>
      </c>
      <c r="B20" s="15">
        <v>179559215</v>
      </c>
      <c r="C20" s="15">
        <f>1789674.5-122811</f>
        <v>1666863.5</v>
      </c>
      <c r="D20" s="15">
        <f t="shared" si="0"/>
        <v>166484176.5</v>
      </c>
      <c r="E20" s="15">
        <v>11408175</v>
      </c>
      <c r="F20" s="16">
        <f t="shared" si="3"/>
        <v>5297</v>
      </c>
      <c r="G20" s="15">
        <v>308</v>
      </c>
    </row>
    <row r="21" spans="1:7" ht="12.75">
      <c r="A21" s="22">
        <f t="shared" si="2"/>
        <v>42147</v>
      </c>
      <c r="B21" s="15">
        <v>171541174</v>
      </c>
      <c r="C21" s="15">
        <v>1710924.16</v>
      </c>
      <c r="D21" s="15">
        <f t="shared" si="0"/>
        <v>158824106.84</v>
      </c>
      <c r="E21" s="15">
        <v>11006143</v>
      </c>
      <c r="F21" s="16">
        <f t="shared" si="3"/>
        <v>5297</v>
      </c>
      <c r="G21" s="15">
        <v>297</v>
      </c>
    </row>
    <row r="22" spans="1:7" ht="12.75">
      <c r="A22" s="22">
        <f t="shared" si="2"/>
        <v>42154</v>
      </c>
      <c r="B22" s="15">
        <v>183563910</v>
      </c>
      <c r="C22" s="15">
        <v>1864848.23</v>
      </c>
      <c r="D22" s="15">
        <f t="shared" si="0"/>
        <v>170134752.77</v>
      </c>
      <c r="E22" s="15">
        <v>11564309</v>
      </c>
      <c r="F22" s="16">
        <f t="shared" si="3"/>
        <v>5297</v>
      </c>
      <c r="G22" s="15">
        <v>312</v>
      </c>
    </row>
    <row r="23" spans="1:7" ht="12.75">
      <c r="A23" s="22">
        <f t="shared" si="2"/>
        <v>42161</v>
      </c>
      <c r="B23" s="15">
        <v>182365160</v>
      </c>
      <c r="C23" s="15">
        <v>1715108.13</v>
      </c>
      <c r="D23" s="15">
        <f t="shared" si="0"/>
        <v>169286109.87</v>
      </c>
      <c r="E23" s="15">
        <v>11363942</v>
      </c>
      <c r="F23" s="16">
        <f t="shared" si="3"/>
        <v>5297</v>
      </c>
      <c r="G23" s="15">
        <v>306</v>
      </c>
    </row>
    <row r="24" spans="1:7" ht="12.75">
      <c r="A24" s="22">
        <f t="shared" si="2"/>
        <v>42168</v>
      </c>
      <c r="B24" s="15">
        <v>167538323</v>
      </c>
      <c r="C24" s="15">
        <f>1695982.06-9171</f>
        <v>1686811.06</v>
      </c>
      <c r="D24" s="15">
        <f t="shared" si="0"/>
        <v>155350256.94</v>
      </c>
      <c r="E24" s="15">
        <v>10501255</v>
      </c>
      <c r="F24" s="16">
        <f t="shared" si="3"/>
        <v>5297</v>
      </c>
      <c r="G24" s="15">
        <v>283</v>
      </c>
    </row>
    <row r="25" spans="1:7" ht="12.75">
      <c r="A25" s="22">
        <f t="shared" si="2"/>
        <v>42175</v>
      </c>
      <c r="B25" s="15">
        <v>166005632</v>
      </c>
      <c r="C25" s="15">
        <v>1615618.07</v>
      </c>
      <c r="D25" s="15">
        <f t="shared" si="0"/>
        <v>154060927.93</v>
      </c>
      <c r="E25" s="15">
        <v>10329086</v>
      </c>
      <c r="F25" s="16">
        <f aca="true" t="shared" si="4" ref="F25:F30">37079/7</f>
        <v>5297</v>
      </c>
      <c r="G25" s="15">
        <v>279</v>
      </c>
    </row>
    <row r="26" spans="1:7" ht="12.75">
      <c r="A26" s="22">
        <f t="shared" si="2"/>
        <v>42182</v>
      </c>
      <c r="B26" s="15">
        <v>165408162</v>
      </c>
      <c r="C26" s="15">
        <v>1605306.04</v>
      </c>
      <c r="D26" s="15">
        <f t="shared" si="0"/>
        <v>153819779.96</v>
      </c>
      <c r="E26" s="15">
        <v>9983076</v>
      </c>
      <c r="F26" s="16">
        <f t="shared" si="4"/>
        <v>5297</v>
      </c>
      <c r="G26" s="15">
        <v>269</v>
      </c>
    </row>
    <row r="27" spans="1:7" ht="12.75">
      <c r="A27" s="22">
        <f t="shared" si="2"/>
        <v>42189</v>
      </c>
      <c r="B27" s="15">
        <v>194177213</v>
      </c>
      <c r="C27" s="15">
        <f>1925339.25-7676</f>
        <v>1917663.25</v>
      </c>
      <c r="D27" s="15">
        <f t="shared" si="0"/>
        <v>180035759.75</v>
      </c>
      <c r="E27" s="15">
        <v>12223790</v>
      </c>
      <c r="F27" s="16">
        <f t="shared" si="4"/>
        <v>5297</v>
      </c>
      <c r="G27" s="15">
        <v>330</v>
      </c>
    </row>
    <row r="28" spans="1:7" ht="12.75">
      <c r="A28" s="22">
        <f t="shared" si="2"/>
        <v>42196</v>
      </c>
      <c r="B28" s="15">
        <v>177287041</v>
      </c>
      <c r="C28" s="15">
        <v>1774596.89</v>
      </c>
      <c r="D28" s="15">
        <f t="shared" si="0"/>
        <v>164615066.11</v>
      </c>
      <c r="E28" s="15">
        <v>10897378</v>
      </c>
      <c r="F28" s="16">
        <f t="shared" si="4"/>
        <v>5297</v>
      </c>
      <c r="G28" s="15">
        <v>294</v>
      </c>
    </row>
    <row r="29" spans="1:7" ht="12.75">
      <c r="A29" s="22">
        <f t="shared" si="2"/>
        <v>42203</v>
      </c>
      <c r="B29" s="15">
        <v>178564683</v>
      </c>
      <c r="C29" s="15">
        <v>1941909.27</v>
      </c>
      <c r="D29" s="15">
        <f t="shared" si="0"/>
        <v>165817851.73</v>
      </c>
      <c r="E29" s="15">
        <v>10804922</v>
      </c>
      <c r="F29" s="16">
        <f t="shared" si="4"/>
        <v>5297</v>
      </c>
      <c r="G29" s="15">
        <v>291</v>
      </c>
    </row>
    <row r="30" spans="1:7" ht="12.75">
      <c r="A30" s="22">
        <f t="shared" si="2"/>
        <v>42210</v>
      </c>
      <c r="B30" s="15">
        <v>169051570</v>
      </c>
      <c r="C30" s="15">
        <f>1865800.75-7035</f>
        <v>1858765.75</v>
      </c>
      <c r="D30" s="15">
        <f t="shared" si="0"/>
        <v>156695936.25</v>
      </c>
      <c r="E30" s="15">
        <v>10496868</v>
      </c>
      <c r="F30" s="16">
        <f t="shared" si="4"/>
        <v>5297</v>
      </c>
      <c r="G30" s="15">
        <v>283</v>
      </c>
    </row>
    <row r="31" spans="1:7" ht="12.75">
      <c r="A31" s="22">
        <f t="shared" si="2"/>
        <v>42217</v>
      </c>
      <c r="B31" s="15">
        <v>171025988</v>
      </c>
      <c r="C31" s="15">
        <v>2025922.73</v>
      </c>
      <c r="D31" s="15">
        <f t="shared" si="0"/>
        <v>158534281.27</v>
      </c>
      <c r="E31" s="15">
        <v>10465784</v>
      </c>
      <c r="F31" s="16">
        <f>37079/7</f>
        <v>5297</v>
      </c>
      <c r="G31" s="15">
        <v>282</v>
      </c>
    </row>
    <row r="32" spans="1:7" ht="12.75">
      <c r="A32" s="22">
        <f t="shared" si="2"/>
        <v>42224</v>
      </c>
      <c r="B32" s="15">
        <v>173044839</v>
      </c>
      <c r="C32" s="15">
        <v>1778452.67</v>
      </c>
      <c r="D32" s="15">
        <f t="shared" si="0"/>
        <v>160573826.33</v>
      </c>
      <c r="E32" s="15">
        <v>10692560</v>
      </c>
      <c r="F32" s="16">
        <f>37079/7</f>
        <v>5297</v>
      </c>
      <c r="G32" s="15">
        <v>288</v>
      </c>
    </row>
    <row r="33" spans="1:7" ht="12.75">
      <c r="A33" s="22">
        <f t="shared" si="2"/>
        <v>42231</v>
      </c>
      <c r="B33" s="15">
        <v>171214092</v>
      </c>
      <c r="C33" s="15">
        <v>1677891.39</v>
      </c>
      <c r="D33" s="15">
        <f t="shared" si="0"/>
        <v>158676692.61</v>
      </c>
      <c r="E33" s="15">
        <v>10859508</v>
      </c>
      <c r="F33" s="16">
        <f>37079/7</f>
        <v>5297</v>
      </c>
      <c r="G33" s="15">
        <v>293</v>
      </c>
    </row>
    <row r="34" spans="1:7" ht="12.75">
      <c r="A34" s="22">
        <f t="shared" si="2"/>
        <v>42238</v>
      </c>
      <c r="B34" s="15">
        <v>168764563</v>
      </c>
      <c r="C34" s="15">
        <v>1599092.01</v>
      </c>
      <c r="D34" s="15">
        <f t="shared" si="0"/>
        <v>156325269.99</v>
      </c>
      <c r="E34" s="15">
        <v>10840201</v>
      </c>
      <c r="F34" s="16">
        <f>36661/7</f>
        <v>5237.285714285715</v>
      </c>
      <c r="G34" s="15">
        <v>296</v>
      </c>
    </row>
    <row r="35" spans="1:7" ht="12.75">
      <c r="A35" s="22">
        <f t="shared" si="2"/>
        <v>42245</v>
      </c>
      <c r="B35" s="15">
        <v>168680717</v>
      </c>
      <c r="C35" s="15">
        <v>1641689.49</v>
      </c>
      <c r="D35" s="15">
        <f t="shared" si="0"/>
        <v>156451798.51</v>
      </c>
      <c r="E35" s="15">
        <v>10587229</v>
      </c>
      <c r="F35" s="16">
        <f>36838/7</f>
        <v>5262.571428571428</v>
      </c>
      <c r="G35" s="15">
        <v>287</v>
      </c>
    </row>
    <row r="36" spans="1:7" ht="12.75">
      <c r="A36" s="22">
        <f t="shared" si="2"/>
        <v>42252</v>
      </c>
      <c r="B36" s="15">
        <v>177068246</v>
      </c>
      <c r="C36" s="15">
        <f>1355610.91-7566</f>
        <v>1348044.91</v>
      </c>
      <c r="D36" s="15">
        <f t="shared" si="0"/>
        <v>164591569.09</v>
      </c>
      <c r="E36" s="15">
        <v>11128632</v>
      </c>
      <c r="F36" s="16">
        <f>36848/7</f>
        <v>5264</v>
      </c>
      <c r="G36" s="15">
        <v>302</v>
      </c>
    </row>
    <row r="37" spans="1:7" ht="12.75">
      <c r="A37" s="22">
        <f t="shared" si="2"/>
        <v>42259</v>
      </c>
      <c r="B37" s="15">
        <v>172496925</v>
      </c>
      <c r="C37" s="15">
        <v>1067961.01</v>
      </c>
      <c r="D37" s="15">
        <f t="shared" si="0"/>
        <v>160192546.99</v>
      </c>
      <c r="E37" s="15">
        <v>11236417</v>
      </c>
      <c r="F37" s="16">
        <f>36848/7</f>
        <v>5264</v>
      </c>
      <c r="G37" s="15">
        <v>305</v>
      </c>
    </row>
    <row r="38" spans="1:7" ht="12.75">
      <c r="A38" s="22">
        <f t="shared" si="2"/>
        <v>42266</v>
      </c>
      <c r="B38" s="15">
        <v>163571374</v>
      </c>
      <c r="C38" s="15">
        <v>1030879.58</v>
      </c>
      <c r="D38" s="15">
        <f t="shared" si="0"/>
        <v>151878467.42</v>
      </c>
      <c r="E38" s="15">
        <v>10662027</v>
      </c>
      <c r="F38" s="16">
        <v>5196</v>
      </c>
      <c r="G38" s="15">
        <v>293</v>
      </c>
    </row>
    <row r="39" spans="1:7" ht="12.75">
      <c r="A39" s="22">
        <f t="shared" si="2"/>
        <v>42273</v>
      </c>
      <c r="B39" s="15">
        <v>163387494</v>
      </c>
      <c r="C39" s="15">
        <v>997850.54</v>
      </c>
      <c r="D39" s="15">
        <f t="shared" si="0"/>
        <v>152275672.46</v>
      </c>
      <c r="E39" s="15">
        <v>10113971</v>
      </c>
      <c r="F39" s="16">
        <v>5234</v>
      </c>
      <c r="G39" s="15">
        <v>276</v>
      </c>
    </row>
    <row r="40" spans="1:7" ht="12.75">
      <c r="A40" s="22">
        <f t="shared" si="2"/>
        <v>42280</v>
      </c>
      <c r="B40" s="15">
        <v>167408876</v>
      </c>
      <c r="C40" s="15">
        <v>1381178.87</v>
      </c>
      <c r="D40" s="15">
        <f t="shared" si="0"/>
        <v>155814832.13</v>
      </c>
      <c r="E40" s="15">
        <v>10212865</v>
      </c>
      <c r="F40" s="16">
        <f>36638/7</f>
        <v>5234</v>
      </c>
      <c r="G40" s="15">
        <v>279</v>
      </c>
    </row>
    <row r="41" spans="1:7" ht="12.75">
      <c r="A41" s="22">
        <f t="shared" si="2"/>
        <v>42287</v>
      </c>
      <c r="B41" s="15">
        <v>175829949</v>
      </c>
      <c r="C41" s="15">
        <f>1627624.48-6400</f>
        <v>1621224.48</v>
      </c>
      <c r="D41" s="15">
        <f t="shared" si="0"/>
        <v>163916594.52</v>
      </c>
      <c r="E41" s="15">
        <v>10292130</v>
      </c>
      <c r="F41" s="16">
        <f>36678/7</f>
        <v>5239.714285714285</v>
      </c>
      <c r="G41" s="15">
        <v>281</v>
      </c>
    </row>
    <row r="42" spans="1:7" ht="12.75">
      <c r="A42" s="22">
        <f t="shared" si="2"/>
        <v>42294</v>
      </c>
      <c r="B42" s="15">
        <v>175248758</v>
      </c>
      <c r="C42" s="15">
        <v>1758275.46</v>
      </c>
      <c r="D42" s="15">
        <f t="shared" si="0"/>
        <v>163448887.54</v>
      </c>
      <c r="E42" s="15">
        <v>10041595</v>
      </c>
      <c r="F42" s="16">
        <f>36708/7</f>
        <v>5244</v>
      </c>
      <c r="G42" s="15">
        <v>274</v>
      </c>
    </row>
    <row r="43" spans="1:7" ht="12.75">
      <c r="A43" s="22">
        <f t="shared" si="2"/>
        <v>42301</v>
      </c>
      <c r="B43" s="15">
        <v>167759538</v>
      </c>
      <c r="C43" s="15">
        <v>1668377</v>
      </c>
      <c r="D43" s="15">
        <f t="shared" si="0"/>
        <v>156168490</v>
      </c>
      <c r="E43" s="15">
        <v>9922671</v>
      </c>
      <c r="F43" s="16">
        <v>5244</v>
      </c>
      <c r="G43" s="15">
        <v>270</v>
      </c>
    </row>
    <row r="44" spans="1:7" ht="12.75">
      <c r="A44" s="22">
        <f t="shared" si="2"/>
        <v>42308</v>
      </c>
      <c r="B44" s="15">
        <v>172785335</v>
      </c>
      <c r="C44" s="15">
        <v>1811103</v>
      </c>
      <c r="D44" s="15">
        <f t="shared" si="0"/>
        <v>161303868</v>
      </c>
      <c r="E44" s="15">
        <v>9670364</v>
      </c>
      <c r="F44" s="16">
        <f aca="true" t="shared" si="5" ref="F44:F49">36708/7</f>
        <v>5244</v>
      </c>
      <c r="G44" s="15">
        <v>263</v>
      </c>
    </row>
    <row r="45" spans="1:7" ht="12.75">
      <c r="A45" s="22">
        <f t="shared" si="2"/>
        <v>42315</v>
      </c>
      <c r="B45" s="15">
        <v>182709861</v>
      </c>
      <c r="C45" s="15">
        <f>1716309.99-7269</f>
        <v>1709040.99</v>
      </c>
      <c r="D45" s="15">
        <f t="shared" si="0"/>
        <v>170394000.01</v>
      </c>
      <c r="E45" s="15">
        <v>10606820</v>
      </c>
      <c r="F45" s="16">
        <f t="shared" si="5"/>
        <v>5244</v>
      </c>
      <c r="G45" s="15">
        <v>289</v>
      </c>
    </row>
    <row r="46" spans="1:7" ht="12.75">
      <c r="A46" s="22">
        <f t="shared" si="2"/>
        <v>42322</v>
      </c>
      <c r="B46" s="15">
        <v>171513794</v>
      </c>
      <c r="C46" s="15">
        <v>1338103.55</v>
      </c>
      <c r="D46" s="15">
        <f t="shared" si="0"/>
        <v>160017767.45</v>
      </c>
      <c r="E46" s="15">
        <v>10157923</v>
      </c>
      <c r="F46" s="16">
        <f t="shared" si="5"/>
        <v>5244</v>
      </c>
      <c r="G46" s="15">
        <v>277</v>
      </c>
    </row>
    <row r="47" spans="1:7" ht="12.75">
      <c r="A47" s="22">
        <f t="shared" si="2"/>
        <v>42329</v>
      </c>
      <c r="B47" s="15">
        <v>159346721</v>
      </c>
      <c r="C47" s="15">
        <v>1302677</v>
      </c>
      <c r="D47" s="15">
        <f t="shared" si="0"/>
        <v>148282347</v>
      </c>
      <c r="E47" s="15">
        <v>9761697</v>
      </c>
      <c r="F47" s="16">
        <f t="shared" si="5"/>
        <v>5244</v>
      </c>
      <c r="G47" s="15">
        <v>266</v>
      </c>
    </row>
    <row r="48" spans="1:7" ht="12.75">
      <c r="A48" s="22">
        <f t="shared" si="2"/>
        <v>42336</v>
      </c>
      <c r="B48" s="15">
        <v>166778627</v>
      </c>
      <c r="C48" s="15">
        <f>1187147.39-54411</f>
        <v>1132736.39</v>
      </c>
      <c r="D48" s="15">
        <f t="shared" si="0"/>
        <v>155195714.61</v>
      </c>
      <c r="E48" s="15">
        <v>10450176</v>
      </c>
      <c r="F48" s="16">
        <f t="shared" si="5"/>
        <v>5244</v>
      </c>
      <c r="G48" s="15">
        <v>285</v>
      </c>
    </row>
    <row r="49" spans="1:7" ht="12.75">
      <c r="A49" s="22">
        <f t="shared" si="2"/>
        <v>42343</v>
      </c>
      <c r="B49" s="15">
        <v>170127850</v>
      </c>
      <c r="C49" s="15">
        <v>1296425.9</v>
      </c>
      <c r="D49" s="15">
        <f t="shared" si="0"/>
        <v>157975271.1</v>
      </c>
      <c r="E49" s="15">
        <v>10856153</v>
      </c>
      <c r="F49" s="16">
        <f t="shared" si="5"/>
        <v>5244</v>
      </c>
      <c r="G49" s="15">
        <v>296</v>
      </c>
    </row>
    <row r="50" spans="1:7" ht="12.75">
      <c r="A50" s="22">
        <f t="shared" si="2"/>
        <v>42350</v>
      </c>
      <c r="B50" s="15">
        <v>163771576</v>
      </c>
      <c r="C50" s="15">
        <v>1160365.06</v>
      </c>
      <c r="D50" s="15">
        <f t="shared" si="0"/>
        <v>152499100.94</v>
      </c>
      <c r="E50" s="15">
        <v>10112110</v>
      </c>
      <c r="F50" s="16">
        <f>36708/7</f>
        <v>5244</v>
      </c>
      <c r="G50" s="15">
        <v>275</v>
      </c>
    </row>
    <row r="51" spans="1:7" ht="12.75">
      <c r="A51" s="22">
        <f t="shared" si="2"/>
        <v>42357</v>
      </c>
      <c r="B51" s="15">
        <v>164914227</v>
      </c>
      <c r="C51" s="15">
        <v>1134297.41</v>
      </c>
      <c r="D51" s="15">
        <f t="shared" si="0"/>
        <v>153848072.59</v>
      </c>
      <c r="E51" s="15">
        <v>9931857</v>
      </c>
      <c r="F51" s="16">
        <f>36708/7</f>
        <v>5244</v>
      </c>
      <c r="G51" s="15">
        <v>271</v>
      </c>
    </row>
    <row r="52" spans="1:7" ht="12.75">
      <c r="A52" s="22">
        <f t="shared" si="2"/>
        <v>42364</v>
      </c>
      <c r="B52" s="15">
        <v>173063321</v>
      </c>
      <c r="C52" s="15">
        <v>1145224.45</v>
      </c>
      <c r="D52" s="15">
        <f t="shared" si="0"/>
        <v>160717338.55</v>
      </c>
      <c r="E52" s="15">
        <v>11200758</v>
      </c>
      <c r="F52" s="16">
        <f>36708/7</f>
        <v>5244</v>
      </c>
      <c r="G52" s="15">
        <v>305</v>
      </c>
    </row>
    <row r="53" spans="1:7" ht="12.75">
      <c r="A53" s="22">
        <f t="shared" si="2"/>
        <v>42371</v>
      </c>
      <c r="B53" s="15">
        <v>215093512</v>
      </c>
      <c r="C53" s="15">
        <v>1560274.9</v>
      </c>
      <c r="D53" s="15">
        <f t="shared" si="0"/>
        <v>199617657.1</v>
      </c>
      <c r="E53" s="15">
        <v>13915580</v>
      </c>
      <c r="F53" s="16">
        <f>36708/7</f>
        <v>5244</v>
      </c>
      <c r="G53" s="15">
        <v>379</v>
      </c>
    </row>
    <row r="54" spans="1:7" ht="12.75">
      <c r="A54" s="22">
        <f t="shared" si="2"/>
        <v>42378</v>
      </c>
      <c r="B54" s="15">
        <v>168469077</v>
      </c>
      <c r="C54" s="15">
        <f>1019999.16-8402</f>
        <v>1011597.16</v>
      </c>
      <c r="D54" s="15">
        <f t="shared" si="0"/>
        <v>157334824.84</v>
      </c>
      <c r="E54" s="15">
        <v>10122655</v>
      </c>
      <c r="F54" s="16">
        <f>36708/7</f>
        <v>5244</v>
      </c>
      <c r="G54" s="15">
        <v>276</v>
      </c>
    </row>
    <row r="55" spans="1:7" ht="12.75">
      <c r="A55" s="22">
        <f t="shared" si="2"/>
        <v>42385</v>
      </c>
      <c r="B55" s="15">
        <v>166715824</v>
      </c>
      <c r="C55" s="15">
        <v>1025567.33</v>
      </c>
      <c r="D55" s="15">
        <f t="shared" si="0"/>
        <v>155239801.67</v>
      </c>
      <c r="E55" s="15">
        <v>10450455</v>
      </c>
      <c r="F55" s="16">
        <f>36676/7</f>
        <v>5239.428571428572</v>
      </c>
      <c r="G55" s="15">
        <v>285</v>
      </c>
    </row>
    <row r="56" spans="1:7" ht="12.75">
      <c r="A56" s="22">
        <f t="shared" si="2"/>
        <v>42392</v>
      </c>
      <c r="B56" s="15">
        <v>126169534</v>
      </c>
      <c r="C56" s="15">
        <v>869552.05</v>
      </c>
      <c r="D56" s="15">
        <f t="shared" si="0"/>
        <v>117689897.95</v>
      </c>
      <c r="E56" s="15">
        <v>7610084</v>
      </c>
      <c r="F56" s="16">
        <f aca="true" t="shared" si="6" ref="F56:F61">36694/7</f>
        <v>5242</v>
      </c>
      <c r="G56" s="15">
        <v>207</v>
      </c>
    </row>
    <row r="57" spans="1:7" ht="12.75">
      <c r="A57" s="22">
        <f t="shared" si="2"/>
        <v>42399</v>
      </c>
      <c r="B57" s="15">
        <v>156692396</v>
      </c>
      <c r="C57" s="15">
        <v>1111495.3</v>
      </c>
      <c r="D57" s="15">
        <f t="shared" si="0"/>
        <v>145751360.7</v>
      </c>
      <c r="E57" s="15">
        <v>9829540</v>
      </c>
      <c r="F57" s="16">
        <f t="shared" si="6"/>
        <v>5242</v>
      </c>
      <c r="G57" s="15">
        <v>268</v>
      </c>
    </row>
    <row r="58" spans="1:7" ht="12.75">
      <c r="A58" s="22">
        <f t="shared" si="2"/>
        <v>42406</v>
      </c>
      <c r="B58" s="15">
        <v>180072829</v>
      </c>
      <c r="C58" s="15">
        <v>1069658</v>
      </c>
      <c r="D58" s="15">
        <f t="shared" si="0"/>
        <v>167711778</v>
      </c>
      <c r="E58" s="15">
        <v>11291393</v>
      </c>
      <c r="F58" s="16">
        <f t="shared" si="6"/>
        <v>5242</v>
      </c>
      <c r="G58" s="15">
        <v>308</v>
      </c>
    </row>
    <row r="59" spans="1:7" ht="12.75">
      <c r="A59" s="22">
        <f t="shared" si="2"/>
        <v>42413</v>
      </c>
      <c r="B59" s="15">
        <v>172977307</v>
      </c>
      <c r="C59" s="15">
        <f>1065173.3-10950</f>
        <v>1054223.3</v>
      </c>
      <c r="D59" s="15">
        <f t="shared" si="0"/>
        <v>161367557.7</v>
      </c>
      <c r="E59" s="15">
        <v>10555526</v>
      </c>
      <c r="F59" s="16">
        <f t="shared" si="6"/>
        <v>5242</v>
      </c>
      <c r="G59" s="15">
        <v>288</v>
      </c>
    </row>
    <row r="60" spans="1:7" ht="12.75">
      <c r="A60" s="22">
        <f t="shared" si="2"/>
        <v>42420</v>
      </c>
      <c r="B60" s="15">
        <v>196632436</v>
      </c>
      <c r="C60" s="15">
        <v>1190798.62</v>
      </c>
      <c r="D60" s="15">
        <f t="shared" si="0"/>
        <v>182451499.38</v>
      </c>
      <c r="E60" s="15">
        <v>12990138</v>
      </c>
      <c r="F60" s="16">
        <f t="shared" si="6"/>
        <v>5242</v>
      </c>
      <c r="G60" s="15">
        <v>354</v>
      </c>
    </row>
    <row r="61" spans="1:7" ht="12.75">
      <c r="A61" s="22">
        <f t="shared" si="2"/>
        <v>42427</v>
      </c>
      <c r="B61" s="15">
        <v>186095936</v>
      </c>
      <c r="C61" s="15">
        <v>1075117.76</v>
      </c>
      <c r="D61" s="15">
        <f t="shared" si="0"/>
        <v>173140027.24</v>
      </c>
      <c r="E61" s="15">
        <v>11880791</v>
      </c>
      <c r="F61" s="16">
        <f t="shared" si="6"/>
        <v>5242</v>
      </c>
      <c r="G61" s="15">
        <v>324</v>
      </c>
    </row>
    <row r="62" spans="1:7" ht="12.75">
      <c r="A62" s="22">
        <f t="shared" si="2"/>
        <v>42434</v>
      </c>
      <c r="B62" s="15">
        <v>203041045</v>
      </c>
      <c r="C62" s="15">
        <f>1468516.77-55810</f>
        <v>1412706.77</v>
      </c>
      <c r="D62" s="15">
        <f t="shared" si="0"/>
        <v>188941900.23</v>
      </c>
      <c r="E62" s="15">
        <v>12686438</v>
      </c>
      <c r="F62" s="16">
        <f>36694/7</f>
        <v>5242</v>
      </c>
      <c r="G62" s="15">
        <v>348</v>
      </c>
    </row>
    <row r="63" spans="1:7" ht="12.75">
      <c r="A63" s="22">
        <f t="shared" si="2"/>
        <v>42441</v>
      </c>
      <c r="B63" s="15">
        <v>194851567</v>
      </c>
      <c r="C63" s="15">
        <v>1426165.65</v>
      </c>
      <c r="D63" s="15">
        <f t="shared" si="0"/>
        <v>181030260.35</v>
      </c>
      <c r="E63" s="15">
        <v>12395141</v>
      </c>
      <c r="F63" s="16">
        <f>36694/7</f>
        <v>5242</v>
      </c>
      <c r="G63" s="15">
        <v>338</v>
      </c>
    </row>
    <row r="64" spans="1:7" ht="12.75">
      <c r="A64" s="22">
        <f t="shared" si="2"/>
        <v>42448</v>
      </c>
      <c r="B64" s="15">
        <v>192716228</v>
      </c>
      <c r="C64" s="15">
        <v>1537037.08</v>
      </c>
      <c r="D64" s="15">
        <f t="shared" si="0"/>
        <v>179247050.92</v>
      </c>
      <c r="E64" s="15">
        <v>11932140</v>
      </c>
      <c r="F64" s="16">
        <f>36694/7</f>
        <v>5242</v>
      </c>
      <c r="G64" s="15">
        <v>325</v>
      </c>
    </row>
    <row r="65" spans="1:7" ht="12.75">
      <c r="A65" s="22">
        <f t="shared" si="2"/>
        <v>42455</v>
      </c>
      <c r="B65" s="15">
        <v>185377455</v>
      </c>
      <c r="C65" s="15">
        <v>1406627</v>
      </c>
      <c r="D65" s="15">
        <f t="shared" si="0"/>
        <v>172349346</v>
      </c>
      <c r="E65" s="15">
        <v>11621482</v>
      </c>
      <c r="F65" s="16">
        <f>36694/7</f>
        <v>5242</v>
      </c>
      <c r="G65" s="15">
        <v>317</v>
      </c>
    </row>
    <row r="66" ht="12.75">
      <c r="A66" s="22"/>
    </row>
    <row r="67" spans="1:7" ht="13.5" thickBot="1">
      <c r="A67" s="3" t="s">
        <v>8</v>
      </c>
      <c r="B67" s="17">
        <f>SUM(B13:B65)</f>
        <v>9296967854</v>
      </c>
      <c r="C67" s="17">
        <f>SUM(C13:C65)</f>
        <v>78131395.10999998</v>
      </c>
      <c r="D67" s="17">
        <f>SUM(D13:D65)</f>
        <v>8639202542.89</v>
      </c>
      <c r="E67" s="17">
        <f>SUM(E13:E65)</f>
        <v>579633916</v>
      </c>
      <c r="F67" s="24">
        <f>SUM(F13:F65)/COUNT(F13:F65)</f>
        <v>5264.1509433962265</v>
      </c>
      <c r="G67" s="17">
        <f>+E67/SUM(F13:F65)/7</f>
        <v>296.79155965181775</v>
      </c>
    </row>
    <row r="68" spans="1:5" s="21" customFormat="1" ht="13.5" thickTop="1">
      <c r="A68" s="19"/>
      <c r="B68" s="20"/>
      <c r="C68" s="20"/>
      <c r="D68" s="20"/>
      <c r="E68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pane ySplit="11" topLeftCell="A57" activePane="bottomLeft" state="frozen"/>
      <selection pane="topLeft" activeCell="A1" sqref="A1"/>
      <selection pane="bottomLeft" activeCell="F65" sqref="F65"/>
    </sheetView>
  </sheetViews>
  <sheetFormatPr defaultColWidth="9.140625" defaultRowHeight="12.75"/>
  <cols>
    <col min="1" max="1" width="16.00390625" style="3" customWidth="1"/>
    <col min="2" max="5" width="16.00390625" style="15" customWidth="1"/>
    <col min="6" max="6" width="16.00390625" style="16" customWidth="1"/>
    <col min="7" max="7" width="16.00390625" style="15" customWidth="1"/>
  </cols>
  <sheetData>
    <row r="1" spans="1:8" ht="18">
      <c r="A1" s="73" t="s">
        <v>15</v>
      </c>
      <c r="B1" s="73"/>
      <c r="C1" s="73"/>
      <c r="D1" s="73"/>
      <c r="E1" s="73"/>
      <c r="F1" s="73"/>
      <c r="G1" s="73"/>
      <c r="H1" s="26"/>
    </row>
    <row r="2" spans="1:8" ht="15">
      <c r="A2" s="74" t="s">
        <v>16</v>
      </c>
      <c r="B2" s="74"/>
      <c r="C2" s="74"/>
      <c r="D2" s="74"/>
      <c r="E2" s="74"/>
      <c r="F2" s="74"/>
      <c r="G2" s="74"/>
      <c r="H2" s="27"/>
    </row>
    <row r="3" spans="1:8" s="1" customFormat="1" ht="15">
      <c r="A3" s="74" t="s">
        <v>17</v>
      </c>
      <c r="B3" s="74"/>
      <c r="C3" s="74"/>
      <c r="D3" s="74"/>
      <c r="E3" s="74"/>
      <c r="F3" s="74"/>
      <c r="G3" s="74"/>
      <c r="H3" s="27"/>
    </row>
    <row r="4" spans="1:8" s="1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1" customFormat="1" ht="14.25">
      <c r="A5" s="75" t="s">
        <v>19</v>
      </c>
      <c r="B5" s="75"/>
      <c r="C5" s="75"/>
      <c r="D5" s="75"/>
      <c r="E5" s="75"/>
      <c r="F5" s="75"/>
      <c r="G5" s="75"/>
      <c r="H5" s="29"/>
    </row>
    <row r="6" spans="1:8" s="1" customFormat="1" ht="14.25">
      <c r="A6" s="2"/>
      <c r="B6" s="2"/>
      <c r="C6" s="2"/>
      <c r="D6" s="2"/>
      <c r="E6" s="2"/>
      <c r="F6" s="2"/>
      <c r="G6" s="2"/>
      <c r="H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70" t="s">
        <v>26</v>
      </c>
      <c r="B8" s="71"/>
      <c r="C8" s="71"/>
      <c r="D8" s="71"/>
      <c r="E8" s="71"/>
      <c r="F8" s="71"/>
      <c r="G8" s="72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21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41727</v>
      </c>
      <c r="B13" s="15">
        <v>155844675.97</v>
      </c>
      <c r="C13" s="15">
        <v>1226517.97</v>
      </c>
      <c r="D13" s="15">
        <f aca="true" t="shared" si="0" ref="D13:D64">+B13-C13-E13</f>
        <v>143873334</v>
      </c>
      <c r="E13" s="15">
        <v>10744824</v>
      </c>
      <c r="F13" s="16">
        <f aca="true" t="shared" si="1" ref="F13:F18">37821/7</f>
        <v>5403</v>
      </c>
      <c r="G13" s="15">
        <v>284</v>
      </c>
    </row>
    <row r="14" spans="1:7" ht="12.75">
      <c r="A14" s="22">
        <f aca="true" t="shared" si="2" ref="A14:A64">+A13+7</f>
        <v>41734</v>
      </c>
      <c r="B14" s="15">
        <v>177096921.57</v>
      </c>
      <c r="C14" s="15">
        <f>1560280.57-973</f>
        <v>1559307.57</v>
      </c>
      <c r="D14" s="15">
        <f t="shared" si="0"/>
        <v>163818455</v>
      </c>
      <c r="E14" s="15">
        <v>11719159</v>
      </c>
      <c r="F14" s="16">
        <f t="shared" si="1"/>
        <v>5403</v>
      </c>
      <c r="G14" s="15">
        <v>310</v>
      </c>
    </row>
    <row r="15" spans="1:7" ht="12.75">
      <c r="A15" s="22">
        <f t="shared" si="2"/>
        <v>41741</v>
      </c>
      <c r="B15" s="15">
        <v>166417506.83</v>
      </c>
      <c r="C15" s="15">
        <v>1363596.83</v>
      </c>
      <c r="D15" s="15">
        <f t="shared" si="0"/>
        <v>154310817</v>
      </c>
      <c r="E15" s="15">
        <v>10743093</v>
      </c>
      <c r="F15" s="16">
        <f t="shared" si="1"/>
        <v>5403</v>
      </c>
      <c r="G15" s="15">
        <v>284</v>
      </c>
    </row>
    <row r="16" spans="1:7" ht="12.75">
      <c r="A16" s="22">
        <f t="shared" si="2"/>
        <v>41748</v>
      </c>
      <c r="B16" s="15">
        <v>167778912.98</v>
      </c>
      <c r="C16" s="15">
        <v>1288619.98</v>
      </c>
      <c r="D16" s="15">
        <f t="shared" si="0"/>
        <v>155475368</v>
      </c>
      <c r="E16" s="15">
        <v>11014925</v>
      </c>
      <c r="F16" s="16">
        <f t="shared" si="1"/>
        <v>5403</v>
      </c>
      <c r="G16" s="15">
        <v>291</v>
      </c>
    </row>
    <row r="17" spans="1:7" ht="12.75">
      <c r="A17" s="22">
        <f t="shared" si="2"/>
        <v>41755</v>
      </c>
      <c r="B17" s="15">
        <v>163804058.4</v>
      </c>
      <c r="C17" s="15">
        <v>1350158.4</v>
      </c>
      <c r="D17" s="15">
        <f t="shared" si="0"/>
        <v>151659894</v>
      </c>
      <c r="E17" s="15">
        <v>10794006</v>
      </c>
      <c r="F17" s="16">
        <f t="shared" si="1"/>
        <v>5403</v>
      </c>
      <c r="G17" s="15">
        <v>285</v>
      </c>
    </row>
    <row r="18" spans="1:7" ht="12.75">
      <c r="A18" s="22">
        <f t="shared" si="2"/>
        <v>41762</v>
      </c>
      <c r="B18" s="15">
        <v>170015968.39</v>
      </c>
      <c r="C18" s="15">
        <v>1347105.39</v>
      </c>
      <c r="D18" s="15">
        <f t="shared" si="0"/>
        <v>157098056</v>
      </c>
      <c r="E18" s="15">
        <v>11570807</v>
      </c>
      <c r="F18" s="16">
        <f t="shared" si="1"/>
        <v>5403</v>
      </c>
      <c r="G18" s="15">
        <v>306</v>
      </c>
    </row>
    <row r="19" spans="1:7" ht="12.75">
      <c r="A19" s="22">
        <f t="shared" si="2"/>
        <v>41769</v>
      </c>
      <c r="B19" s="15">
        <v>161160274.85</v>
      </c>
      <c r="C19" s="15">
        <f>1183388.85-149507</f>
        <v>1033881.8500000001</v>
      </c>
      <c r="D19" s="15">
        <f t="shared" si="0"/>
        <v>148799196</v>
      </c>
      <c r="E19" s="15">
        <v>11327197</v>
      </c>
      <c r="F19" s="16">
        <f>37821/7</f>
        <v>5403</v>
      </c>
      <c r="G19" s="15">
        <v>299</v>
      </c>
    </row>
    <row r="20" spans="1:7" ht="12.75">
      <c r="A20" s="22">
        <f t="shared" si="2"/>
        <v>41776</v>
      </c>
      <c r="B20" s="15">
        <v>160264769.5</v>
      </c>
      <c r="C20" s="15">
        <v>1184295.5</v>
      </c>
      <c r="D20" s="15">
        <f t="shared" si="0"/>
        <v>148834981</v>
      </c>
      <c r="E20" s="15">
        <v>10245493</v>
      </c>
      <c r="F20" s="16">
        <f>37821/7</f>
        <v>5403</v>
      </c>
      <c r="G20" s="15">
        <v>271</v>
      </c>
    </row>
    <row r="21" spans="1:7" ht="12.75">
      <c r="A21" s="22">
        <f t="shared" si="2"/>
        <v>41783</v>
      </c>
      <c r="B21" s="15">
        <v>157155629.59</v>
      </c>
      <c r="C21" s="15">
        <v>1153022.59</v>
      </c>
      <c r="D21" s="15">
        <f t="shared" si="0"/>
        <v>145510807</v>
      </c>
      <c r="E21" s="15">
        <v>10491800</v>
      </c>
      <c r="F21" s="16">
        <f>37821/7</f>
        <v>5403</v>
      </c>
      <c r="G21" s="15">
        <v>277</v>
      </c>
    </row>
    <row r="22" spans="1:7" ht="12.75">
      <c r="A22" s="22">
        <f t="shared" si="2"/>
        <v>41790</v>
      </c>
      <c r="B22" s="15">
        <v>169255826.75</v>
      </c>
      <c r="C22" s="15">
        <v>1374155.75</v>
      </c>
      <c r="D22" s="15">
        <f t="shared" si="0"/>
        <v>156941798</v>
      </c>
      <c r="E22" s="15">
        <v>10939873</v>
      </c>
      <c r="F22" s="16">
        <f>37699/7</f>
        <v>5385.571428571428</v>
      </c>
      <c r="G22" s="15">
        <v>290</v>
      </c>
    </row>
    <row r="23" spans="1:7" ht="12.75">
      <c r="A23" s="22">
        <f t="shared" si="2"/>
        <v>41797</v>
      </c>
      <c r="B23" s="15">
        <v>159311803.02</v>
      </c>
      <c r="C23" s="15">
        <v>1097429.02</v>
      </c>
      <c r="D23" s="15">
        <f t="shared" si="0"/>
        <v>147298576</v>
      </c>
      <c r="E23" s="15">
        <v>10915798</v>
      </c>
      <c r="F23" s="16">
        <f>37456/7</f>
        <v>5350.857142857143</v>
      </c>
      <c r="G23" s="15">
        <v>291</v>
      </c>
    </row>
    <row r="24" spans="1:7" ht="12.75">
      <c r="A24" s="22">
        <f t="shared" si="2"/>
        <v>41804</v>
      </c>
      <c r="B24" s="15">
        <v>147687208.08</v>
      </c>
      <c r="C24" s="15">
        <f>951519.08-31809</f>
        <v>919710.08</v>
      </c>
      <c r="D24" s="15">
        <f t="shared" si="0"/>
        <v>136845691</v>
      </c>
      <c r="E24" s="15">
        <v>9921807</v>
      </c>
      <c r="F24" s="16">
        <f>37422/7</f>
        <v>5346</v>
      </c>
      <c r="G24" s="15">
        <v>265</v>
      </c>
    </row>
    <row r="25" spans="1:7" ht="12.75">
      <c r="A25" s="22">
        <f t="shared" si="2"/>
        <v>41811</v>
      </c>
      <c r="B25" s="15">
        <v>149467323.22</v>
      </c>
      <c r="C25" s="15">
        <v>999234.22</v>
      </c>
      <c r="D25" s="15">
        <f t="shared" si="0"/>
        <v>138369115</v>
      </c>
      <c r="E25" s="15">
        <v>10098974</v>
      </c>
      <c r="F25" s="16">
        <f>37422/7</f>
        <v>5346</v>
      </c>
      <c r="G25" s="15">
        <v>270</v>
      </c>
    </row>
    <row r="26" spans="1:7" ht="12.75">
      <c r="A26" s="22">
        <f t="shared" si="2"/>
        <v>41818</v>
      </c>
      <c r="B26" s="15">
        <v>147075509.88</v>
      </c>
      <c r="C26" s="15">
        <v>986044.88</v>
      </c>
      <c r="D26" s="15">
        <f t="shared" si="0"/>
        <v>136201781</v>
      </c>
      <c r="E26" s="15">
        <v>9887684</v>
      </c>
      <c r="F26" s="16">
        <f>37422/7</f>
        <v>5346</v>
      </c>
      <c r="G26" s="15">
        <v>264</v>
      </c>
    </row>
    <row r="27" spans="1:7" ht="12.75">
      <c r="A27" s="22">
        <f t="shared" si="2"/>
        <v>41825</v>
      </c>
      <c r="B27" s="15">
        <v>158293180.96</v>
      </c>
      <c r="C27" s="15">
        <v>762771.96</v>
      </c>
      <c r="D27" s="15">
        <f t="shared" si="0"/>
        <v>146213981</v>
      </c>
      <c r="E27" s="15">
        <v>11316428</v>
      </c>
      <c r="F27" s="16">
        <f>37422/7</f>
        <v>5346</v>
      </c>
      <c r="G27" s="15">
        <v>302</v>
      </c>
    </row>
    <row r="28" spans="1:7" ht="12.75">
      <c r="A28" s="22">
        <f t="shared" si="2"/>
        <v>41832</v>
      </c>
      <c r="B28" s="15">
        <v>148890603.65</v>
      </c>
      <c r="C28" s="15">
        <f>856708.65-795</f>
        <v>855913.65</v>
      </c>
      <c r="D28" s="15">
        <f t="shared" si="0"/>
        <v>137682276</v>
      </c>
      <c r="E28" s="15">
        <v>10352414</v>
      </c>
      <c r="F28" s="16">
        <f>36779/7</f>
        <v>5254.142857142857</v>
      </c>
      <c r="G28" s="15">
        <v>281</v>
      </c>
    </row>
    <row r="29" spans="1:7" ht="12.75">
      <c r="A29" s="22">
        <f t="shared" si="2"/>
        <v>41839</v>
      </c>
      <c r="B29" s="15">
        <v>151414894.85</v>
      </c>
      <c r="C29" s="15">
        <v>974514.85</v>
      </c>
      <c r="D29" s="15">
        <f t="shared" si="0"/>
        <v>140480159</v>
      </c>
      <c r="E29" s="15">
        <v>9960221</v>
      </c>
      <c r="F29" s="16">
        <f>36667/7</f>
        <v>5238.142857142857</v>
      </c>
      <c r="G29" s="15">
        <v>272</v>
      </c>
    </row>
    <row r="30" spans="1:7" ht="12.75">
      <c r="A30" s="22">
        <f t="shared" si="2"/>
        <v>41846</v>
      </c>
      <c r="B30" s="15">
        <v>146323392.38</v>
      </c>
      <c r="C30" s="15">
        <f>953748.38-13081</f>
        <v>940667.38</v>
      </c>
      <c r="D30" s="15">
        <f t="shared" si="0"/>
        <v>135447138</v>
      </c>
      <c r="E30" s="15">
        <v>9935587</v>
      </c>
      <c r="F30" s="16">
        <f aca="true" t="shared" si="3" ref="F30:F35">37079/7</f>
        <v>5297</v>
      </c>
      <c r="G30" s="15">
        <v>268</v>
      </c>
    </row>
    <row r="31" spans="1:7" ht="12.75">
      <c r="A31" s="22">
        <f t="shared" si="2"/>
        <v>41853</v>
      </c>
      <c r="B31" s="15">
        <v>160262478.2</v>
      </c>
      <c r="C31" s="15">
        <v>1043181.2</v>
      </c>
      <c r="D31" s="15">
        <f t="shared" si="0"/>
        <v>148303401</v>
      </c>
      <c r="E31" s="15">
        <v>10915896</v>
      </c>
      <c r="F31" s="16">
        <f t="shared" si="3"/>
        <v>5297</v>
      </c>
      <c r="G31" s="15">
        <v>294</v>
      </c>
    </row>
    <row r="32" spans="1:7" ht="12.75">
      <c r="A32" s="22">
        <f t="shared" si="2"/>
        <v>41860</v>
      </c>
      <c r="B32" s="15">
        <v>155901936.37</v>
      </c>
      <c r="C32" s="15">
        <v>1076161.37</v>
      </c>
      <c r="D32" s="15">
        <f t="shared" si="0"/>
        <v>144338191</v>
      </c>
      <c r="E32" s="15">
        <v>10487584</v>
      </c>
      <c r="F32" s="16">
        <f t="shared" si="3"/>
        <v>5297</v>
      </c>
      <c r="G32" s="15">
        <v>283</v>
      </c>
    </row>
    <row r="33" spans="1:7" ht="12.75">
      <c r="A33" s="22">
        <f t="shared" si="2"/>
        <v>41867</v>
      </c>
      <c r="B33" s="15">
        <v>153308726.8</v>
      </c>
      <c r="C33" s="15">
        <v>1090281.8</v>
      </c>
      <c r="D33" s="15">
        <f t="shared" si="0"/>
        <v>141904002</v>
      </c>
      <c r="E33" s="15">
        <v>10314443</v>
      </c>
      <c r="F33" s="16">
        <f t="shared" si="3"/>
        <v>5297</v>
      </c>
      <c r="G33" s="15">
        <v>278</v>
      </c>
    </row>
    <row r="34" spans="1:7" ht="12.75">
      <c r="A34" s="22">
        <f t="shared" si="2"/>
        <v>41874</v>
      </c>
      <c r="B34" s="15">
        <v>150857185.1</v>
      </c>
      <c r="C34" s="15">
        <v>1275166.1</v>
      </c>
      <c r="D34" s="15">
        <f t="shared" si="0"/>
        <v>139799596</v>
      </c>
      <c r="E34" s="15">
        <v>9782423</v>
      </c>
      <c r="F34" s="16">
        <f t="shared" si="3"/>
        <v>5297</v>
      </c>
      <c r="G34" s="15">
        <v>264</v>
      </c>
    </row>
    <row r="35" spans="1:7" ht="12.75">
      <c r="A35" s="22">
        <f t="shared" si="2"/>
        <v>41881</v>
      </c>
      <c r="B35" s="15">
        <v>159834689.02</v>
      </c>
      <c r="C35" s="15">
        <f>1339549.02-14870</f>
        <v>1324679.02</v>
      </c>
      <c r="D35" s="15">
        <f t="shared" si="0"/>
        <v>148092556</v>
      </c>
      <c r="E35" s="15">
        <v>10417454</v>
      </c>
      <c r="F35" s="16">
        <f t="shared" si="3"/>
        <v>5297</v>
      </c>
      <c r="G35" s="15">
        <v>281</v>
      </c>
    </row>
    <row r="36" spans="1:7" ht="12.75">
      <c r="A36" s="22">
        <f t="shared" si="2"/>
        <v>41888</v>
      </c>
      <c r="B36" s="15">
        <v>170330333.11</v>
      </c>
      <c r="C36" s="15">
        <v>1284694.11</v>
      </c>
      <c r="D36" s="15">
        <f t="shared" si="0"/>
        <v>157579569</v>
      </c>
      <c r="E36" s="15">
        <v>11466070</v>
      </c>
      <c r="F36" s="16">
        <f aca="true" t="shared" si="4" ref="F36:F41">37079/7</f>
        <v>5297</v>
      </c>
      <c r="G36" s="15">
        <v>309</v>
      </c>
    </row>
    <row r="37" spans="1:7" ht="12.75">
      <c r="A37" s="22">
        <f t="shared" si="2"/>
        <v>41895</v>
      </c>
      <c r="B37" s="15">
        <v>150078780.05</v>
      </c>
      <c r="C37" s="15">
        <v>1151920.05</v>
      </c>
      <c r="D37" s="15">
        <f t="shared" si="0"/>
        <v>138979625</v>
      </c>
      <c r="E37" s="15">
        <v>9947235</v>
      </c>
      <c r="F37" s="16">
        <f t="shared" si="4"/>
        <v>5297</v>
      </c>
      <c r="G37" s="15">
        <v>268</v>
      </c>
    </row>
    <row r="38" spans="1:7" ht="12.75">
      <c r="A38" s="22">
        <f t="shared" si="2"/>
        <v>41902</v>
      </c>
      <c r="B38" s="15">
        <v>152843768.46</v>
      </c>
      <c r="C38" s="15">
        <v>1190772.46</v>
      </c>
      <c r="D38" s="15">
        <f t="shared" si="0"/>
        <v>141494723</v>
      </c>
      <c r="E38" s="15">
        <v>10158273</v>
      </c>
      <c r="F38" s="16">
        <f t="shared" si="4"/>
        <v>5297</v>
      </c>
      <c r="G38" s="15">
        <v>274</v>
      </c>
    </row>
    <row r="39" spans="1:7" ht="12.75">
      <c r="A39" s="22">
        <f t="shared" si="2"/>
        <v>41909</v>
      </c>
      <c r="B39" s="15">
        <v>153850412.1</v>
      </c>
      <c r="C39" s="15">
        <v>1224623.1</v>
      </c>
      <c r="D39" s="15">
        <f t="shared" si="0"/>
        <v>142732694</v>
      </c>
      <c r="E39" s="15">
        <v>9893095</v>
      </c>
      <c r="F39" s="16">
        <f t="shared" si="4"/>
        <v>5297</v>
      </c>
      <c r="G39" s="15">
        <v>267</v>
      </c>
    </row>
    <row r="40" spans="1:7" ht="12.75">
      <c r="A40" s="22">
        <f t="shared" si="2"/>
        <v>41916</v>
      </c>
      <c r="B40" s="15">
        <v>159367423.65</v>
      </c>
      <c r="C40" s="15">
        <f>1271169.65-37204</f>
        <v>1233965.65</v>
      </c>
      <c r="D40" s="15">
        <f t="shared" si="0"/>
        <v>147760068</v>
      </c>
      <c r="E40" s="15">
        <v>10373390</v>
      </c>
      <c r="F40" s="16">
        <f t="shared" si="4"/>
        <v>5297</v>
      </c>
      <c r="G40" s="15">
        <v>280</v>
      </c>
    </row>
    <row r="41" spans="1:7" ht="12.75">
      <c r="A41" s="22">
        <f t="shared" si="2"/>
        <v>41923</v>
      </c>
      <c r="B41" s="15">
        <v>155352571.79</v>
      </c>
      <c r="C41" s="15">
        <v>1237903.79</v>
      </c>
      <c r="D41" s="15">
        <f t="shared" si="0"/>
        <v>144152341</v>
      </c>
      <c r="E41" s="15">
        <v>9962327</v>
      </c>
      <c r="F41" s="16">
        <f t="shared" si="4"/>
        <v>5297</v>
      </c>
      <c r="G41" s="15">
        <v>269</v>
      </c>
    </row>
    <row r="42" spans="1:7" ht="12.75">
      <c r="A42" s="22">
        <f t="shared" si="2"/>
        <v>41930</v>
      </c>
      <c r="B42" s="15">
        <v>157442814.95</v>
      </c>
      <c r="C42" s="15">
        <v>1248226.95</v>
      </c>
      <c r="D42" s="15">
        <f t="shared" si="0"/>
        <v>145740041</v>
      </c>
      <c r="E42" s="15">
        <v>10454547</v>
      </c>
      <c r="F42" s="16">
        <f>37079/7</f>
        <v>5297</v>
      </c>
      <c r="G42" s="15">
        <v>282</v>
      </c>
    </row>
    <row r="43" spans="1:7" ht="12.75">
      <c r="A43" s="22">
        <f t="shared" si="2"/>
        <v>41937</v>
      </c>
      <c r="B43" s="15">
        <v>146611809.06</v>
      </c>
      <c r="C43" s="15">
        <v>1169487.06</v>
      </c>
      <c r="D43" s="15">
        <f t="shared" si="0"/>
        <v>135776531</v>
      </c>
      <c r="E43" s="15">
        <v>9665791</v>
      </c>
      <c r="F43" s="16">
        <f>37079/7</f>
        <v>5297</v>
      </c>
      <c r="G43" s="15">
        <v>261</v>
      </c>
    </row>
    <row r="44" spans="1:7" ht="12.75">
      <c r="A44" s="22">
        <f t="shared" si="2"/>
        <v>41944</v>
      </c>
      <c r="B44" s="15">
        <v>153787927.17</v>
      </c>
      <c r="C44" s="15">
        <f>1259444.17-8850</f>
        <v>1250594.17</v>
      </c>
      <c r="D44" s="15">
        <f t="shared" si="0"/>
        <v>142789135</v>
      </c>
      <c r="E44" s="15">
        <v>9748198</v>
      </c>
      <c r="F44" s="16">
        <f>37079/7</f>
        <v>5297</v>
      </c>
      <c r="G44" s="15">
        <v>263</v>
      </c>
    </row>
    <row r="45" spans="1:7" ht="12.75">
      <c r="A45" s="22">
        <f t="shared" si="2"/>
        <v>41951</v>
      </c>
      <c r="B45" s="15">
        <v>158076995.87</v>
      </c>
      <c r="C45" s="15">
        <v>1125748.87</v>
      </c>
      <c r="D45" s="15">
        <f t="shared" si="0"/>
        <v>146964510</v>
      </c>
      <c r="E45" s="15">
        <v>9986737</v>
      </c>
      <c r="F45" s="16">
        <v>5297</v>
      </c>
      <c r="G45" s="15">
        <v>269</v>
      </c>
    </row>
    <row r="46" spans="1:7" ht="12.75">
      <c r="A46" s="22">
        <f t="shared" si="2"/>
        <v>41958</v>
      </c>
      <c r="B46" s="15">
        <v>153840070.12</v>
      </c>
      <c r="C46" s="15">
        <v>1143317.12</v>
      </c>
      <c r="D46" s="15">
        <f t="shared" si="0"/>
        <v>142805341</v>
      </c>
      <c r="E46" s="15">
        <v>9891412</v>
      </c>
      <c r="F46" s="16">
        <f aca="true" t="shared" si="5" ref="F46:F51">37079/7</f>
        <v>5297</v>
      </c>
      <c r="G46" s="15">
        <v>267</v>
      </c>
    </row>
    <row r="47" spans="1:7" ht="12.75">
      <c r="A47" s="22">
        <f t="shared" si="2"/>
        <v>41965</v>
      </c>
      <c r="B47" s="15">
        <v>141769498.84</v>
      </c>
      <c r="C47" s="15">
        <v>1055110.84</v>
      </c>
      <c r="D47" s="15">
        <f t="shared" si="0"/>
        <v>131678201</v>
      </c>
      <c r="E47" s="15">
        <v>9036187</v>
      </c>
      <c r="F47" s="16">
        <f t="shared" si="5"/>
        <v>5297</v>
      </c>
      <c r="G47" s="15">
        <v>244</v>
      </c>
    </row>
    <row r="48" spans="1:7" ht="12.75">
      <c r="A48" s="22">
        <f t="shared" si="2"/>
        <v>41972</v>
      </c>
      <c r="B48" s="15">
        <v>146434757.71</v>
      </c>
      <c r="C48" s="15">
        <v>1033074.71</v>
      </c>
      <c r="D48" s="15">
        <f t="shared" si="0"/>
        <v>135521864</v>
      </c>
      <c r="E48" s="15">
        <v>9879819</v>
      </c>
      <c r="F48" s="16">
        <f t="shared" si="5"/>
        <v>5297</v>
      </c>
      <c r="G48" s="15">
        <v>266</v>
      </c>
    </row>
    <row r="49" spans="1:7" ht="12.75">
      <c r="A49" s="22">
        <f t="shared" si="2"/>
        <v>41979</v>
      </c>
      <c r="B49" s="15">
        <v>148842054.21</v>
      </c>
      <c r="C49" s="15">
        <f>1146660.21-3890</f>
        <v>1142770.21</v>
      </c>
      <c r="D49" s="15">
        <f t="shared" si="0"/>
        <v>137963812</v>
      </c>
      <c r="E49" s="15">
        <v>9735472</v>
      </c>
      <c r="F49" s="16">
        <f t="shared" si="5"/>
        <v>5297</v>
      </c>
      <c r="G49" s="15">
        <v>263</v>
      </c>
    </row>
    <row r="50" spans="1:7" ht="12.75">
      <c r="A50" s="22">
        <f t="shared" si="2"/>
        <v>41986</v>
      </c>
      <c r="B50" s="15">
        <v>142172463.81</v>
      </c>
      <c r="C50" s="15">
        <v>1026356.81</v>
      </c>
      <c r="D50" s="15">
        <f t="shared" si="0"/>
        <v>131992909</v>
      </c>
      <c r="E50" s="15">
        <v>9153198</v>
      </c>
      <c r="F50" s="16">
        <f t="shared" si="5"/>
        <v>5297</v>
      </c>
      <c r="G50" s="15">
        <v>247</v>
      </c>
    </row>
    <row r="51" spans="1:7" ht="12.75">
      <c r="A51" s="22">
        <f t="shared" si="2"/>
        <v>41993</v>
      </c>
      <c r="B51" s="15">
        <v>146843158.3</v>
      </c>
      <c r="C51" s="15">
        <v>1086829.3</v>
      </c>
      <c r="D51" s="15">
        <f t="shared" si="0"/>
        <v>136099716</v>
      </c>
      <c r="E51" s="15">
        <v>9656613</v>
      </c>
      <c r="F51" s="16">
        <f t="shared" si="5"/>
        <v>5297</v>
      </c>
      <c r="G51" s="15">
        <v>260</v>
      </c>
    </row>
    <row r="52" spans="1:7" ht="12.75">
      <c r="A52" s="22">
        <f t="shared" si="2"/>
        <v>42000</v>
      </c>
      <c r="B52" s="15">
        <v>169672147.05</v>
      </c>
      <c r="C52" s="15">
        <v>1203677.05</v>
      </c>
      <c r="D52" s="15">
        <f t="shared" si="0"/>
        <v>157481328</v>
      </c>
      <c r="E52" s="15">
        <v>10987142</v>
      </c>
      <c r="F52" s="16">
        <f aca="true" t="shared" si="6" ref="F52:F57">37079/7</f>
        <v>5297</v>
      </c>
      <c r="G52" s="15">
        <v>296</v>
      </c>
    </row>
    <row r="53" spans="1:7" ht="12.75">
      <c r="A53" s="22">
        <f t="shared" si="2"/>
        <v>42007</v>
      </c>
      <c r="B53" s="15">
        <v>190876412.73</v>
      </c>
      <c r="C53" s="15">
        <v>1527438.73</v>
      </c>
      <c r="D53" s="15">
        <f t="shared" si="0"/>
        <v>176417636</v>
      </c>
      <c r="E53" s="15">
        <v>12931338</v>
      </c>
      <c r="F53" s="16">
        <f t="shared" si="6"/>
        <v>5297</v>
      </c>
      <c r="G53" s="15">
        <v>349</v>
      </c>
    </row>
    <row r="54" spans="1:7" ht="12.75">
      <c r="A54" s="22">
        <f t="shared" si="2"/>
        <v>42014</v>
      </c>
      <c r="B54" s="15">
        <v>138305448.43</v>
      </c>
      <c r="C54" s="15">
        <v>1044713.43</v>
      </c>
      <c r="D54" s="15">
        <f t="shared" si="0"/>
        <v>128651773</v>
      </c>
      <c r="E54" s="15">
        <v>8608962</v>
      </c>
      <c r="F54" s="16">
        <f t="shared" si="6"/>
        <v>5297</v>
      </c>
      <c r="G54" s="15">
        <v>232</v>
      </c>
    </row>
    <row r="55" spans="1:7" ht="12.75">
      <c r="A55" s="22">
        <f t="shared" si="2"/>
        <v>42021</v>
      </c>
      <c r="B55" s="15">
        <v>147870038.27</v>
      </c>
      <c r="C55" s="15">
        <v>1158706.27</v>
      </c>
      <c r="D55" s="15">
        <f t="shared" si="0"/>
        <v>137414190</v>
      </c>
      <c r="E55" s="15">
        <v>9297142</v>
      </c>
      <c r="F55" s="16">
        <f t="shared" si="6"/>
        <v>5297</v>
      </c>
      <c r="G55" s="15">
        <v>251</v>
      </c>
    </row>
    <row r="56" spans="1:7" ht="12.75">
      <c r="A56" s="22">
        <f t="shared" si="2"/>
        <v>42028</v>
      </c>
      <c r="B56" s="15">
        <v>138933221.83</v>
      </c>
      <c r="C56" s="15">
        <v>1128326.83</v>
      </c>
      <c r="D56" s="15">
        <f t="shared" si="0"/>
        <v>128483575</v>
      </c>
      <c r="E56" s="15">
        <v>9321320</v>
      </c>
      <c r="F56" s="16">
        <f t="shared" si="6"/>
        <v>5297</v>
      </c>
      <c r="G56" s="15">
        <v>251</v>
      </c>
    </row>
    <row r="57" spans="1:7" ht="12.75">
      <c r="A57" s="22">
        <f t="shared" si="2"/>
        <v>42035</v>
      </c>
      <c r="B57" s="15">
        <v>132318680.48</v>
      </c>
      <c r="C57" s="15">
        <v>1103308.48</v>
      </c>
      <c r="D57" s="15">
        <f t="shared" si="0"/>
        <v>122670446</v>
      </c>
      <c r="E57" s="15">
        <v>8544926</v>
      </c>
      <c r="F57" s="16">
        <f t="shared" si="6"/>
        <v>5297</v>
      </c>
      <c r="G57" s="15">
        <v>230</v>
      </c>
    </row>
    <row r="58" spans="1:7" ht="12.75">
      <c r="A58" s="22">
        <f t="shared" si="2"/>
        <v>42042</v>
      </c>
      <c r="B58" s="15">
        <v>142942117.39</v>
      </c>
      <c r="C58" s="15">
        <f>1058221.39-3596</f>
        <v>1054625.39</v>
      </c>
      <c r="D58" s="15">
        <f t="shared" si="0"/>
        <v>132044501</v>
      </c>
      <c r="E58" s="15">
        <v>9842991</v>
      </c>
      <c r="F58" s="16">
        <f aca="true" t="shared" si="7" ref="F58:F63">37079/7</f>
        <v>5297</v>
      </c>
      <c r="G58" s="15">
        <v>265</v>
      </c>
    </row>
    <row r="59" spans="1:7" ht="12.75">
      <c r="A59" s="22">
        <f t="shared" si="2"/>
        <v>42049</v>
      </c>
      <c r="B59" s="15">
        <v>148821860.9</v>
      </c>
      <c r="C59" s="15">
        <f>1025263.9-10300</f>
        <v>1014963.9</v>
      </c>
      <c r="D59" s="15">
        <f t="shared" si="0"/>
        <v>137954131</v>
      </c>
      <c r="E59" s="15">
        <v>9852766</v>
      </c>
      <c r="F59" s="16">
        <f t="shared" si="7"/>
        <v>5297</v>
      </c>
      <c r="G59" s="15">
        <v>266</v>
      </c>
    </row>
    <row r="60" spans="1:7" ht="12.75">
      <c r="A60" s="22">
        <f t="shared" si="2"/>
        <v>42056</v>
      </c>
      <c r="B60" s="15">
        <v>158024900.9</v>
      </c>
      <c r="C60" s="15">
        <v>1096592.9</v>
      </c>
      <c r="D60" s="15">
        <f t="shared" si="0"/>
        <v>146609894</v>
      </c>
      <c r="E60" s="15">
        <v>10318414</v>
      </c>
      <c r="F60" s="16">
        <f t="shared" si="7"/>
        <v>5297</v>
      </c>
      <c r="G60" s="15">
        <v>278</v>
      </c>
    </row>
    <row r="61" spans="1:7" ht="12.75">
      <c r="A61" s="22">
        <f t="shared" si="2"/>
        <v>42063</v>
      </c>
      <c r="B61" s="15">
        <v>181822073.09</v>
      </c>
      <c r="C61" s="15">
        <v>1495187.09</v>
      </c>
      <c r="D61" s="15">
        <f t="shared" si="0"/>
        <v>168334967</v>
      </c>
      <c r="E61" s="15">
        <v>11991919</v>
      </c>
      <c r="F61" s="16">
        <f t="shared" si="7"/>
        <v>5297</v>
      </c>
      <c r="G61" s="15">
        <v>323</v>
      </c>
    </row>
    <row r="62" spans="1:7" ht="12.75">
      <c r="A62" s="22">
        <f t="shared" si="2"/>
        <v>42070</v>
      </c>
      <c r="B62" s="15">
        <v>156123408</v>
      </c>
      <c r="C62" s="15">
        <f>1208384.27-5564</f>
        <v>1202820.27</v>
      </c>
      <c r="D62" s="15">
        <f t="shared" si="0"/>
        <v>144732239.73</v>
      </c>
      <c r="E62" s="15">
        <v>10188348</v>
      </c>
      <c r="F62" s="16">
        <f t="shared" si="7"/>
        <v>5297</v>
      </c>
      <c r="G62" s="15">
        <v>275</v>
      </c>
    </row>
    <row r="63" spans="1:7" ht="12.75">
      <c r="A63" s="22">
        <f t="shared" si="2"/>
        <v>42077</v>
      </c>
      <c r="B63" s="15">
        <v>181163048</v>
      </c>
      <c r="C63" s="15">
        <v>1336559.61</v>
      </c>
      <c r="D63" s="15">
        <f t="shared" si="0"/>
        <v>167708707.39</v>
      </c>
      <c r="E63" s="15">
        <v>12117781</v>
      </c>
      <c r="F63" s="16">
        <f t="shared" si="7"/>
        <v>5297</v>
      </c>
      <c r="G63" s="15">
        <v>327</v>
      </c>
    </row>
    <row r="64" spans="1:7" ht="12.75">
      <c r="A64" s="22">
        <f t="shared" si="2"/>
        <v>42084</v>
      </c>
      <c r="B64" s="15">
        <v>174539668</v>
      </c>
      <c r="C64" s="15">
        <v>1347792.47</v>
      </c>
      <c r="D64" s="15">
        <f t="shared" si="0"/>
        <v>161924227.53</v>
      </c>
      <c r="E64" s="15">
        <v>11267648</v>
      </c>
      <c r="F64" s="16">
        <f>37079/7</f>
        <v>5297</v>
      </c>
      <c r="G64" s="15">
        <v>304</v>
      </c>
    </row>
    <row r="65" ht="12.75">
      <c r="A65" s="22"/>
    </row>
    <row r="66" spans="1:7" ht="13.5" thickBot="1">
      <c r="A66" s="3" t="s">
        <v>8</v>
      </c>
      <c r="B66" s="17">
        <f>SUM(B13:B64)</f>
        <v>8136481340.63</v>
      </c>
      <c r="C66" s="17">
        <f>SUM(C13:C64)</f>
        <v>60546524.980000004</v>
      </c>
      <c r="D66" s="17">
        <f>SUM(D13:D64)</f>
        <v>7537757864.65</v>
      </c>
      <c r="E66" s="17">
        <f>SUM(E13:E64)</f>
        <v>538176951</v>
      </c>
      <c r="F66" s="24">
        <f>SUM(F13:F64)/COUNT(F13:F64)</f>
        <v>5319.898351648352</v>
      </c>
      <c r="G66" s="17">
        <f>+E66/SUM(F13:F64)/7</f>
        <v>277.92036791168135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16.00390625" style="3" customWidth="1"/>
    <col min="2" max="5" width="16.00390625" style="15" customWidth="1"/>
    <col min="6" max="6" width="16.00390625" style="16" customWidth="1"/>
    <col min="7" max="7" width="16.00390625" style="15" customWidth="1"/>
  </cols>
  <sheetData>
    <row r="1" spans="1:8" ht="18">
      <c r="A1" s="73" t="s">
        <v>15</v>
      </c>
      <c r="B1" s="73"/>
      <c r="C1" s="73"/>
      <c r="D1" s="73"/>
      <c r="E1" s="73"/>
      <c r="F1" s="73"/>
      <c r="G1" s="73"/>
      <c r="H1" s="26"/>
    </row>
    <row r="2" spans="1:8" ht="15">
      <c r="A2" s="74" t="s">
        <v>16</v>
      </c>
      <c r="B2" s="74"/>
      <c r="C2" s="74"/>
      <c r="D2" s="74"/>
      <c r="E2" s="74"/>
      <c r="F2" s="74"/>
      <c r="G2" s="74"/>
      <c r="H2" s="27"/>
    </row>
    <row r="3" spans="1:8" s="1" customFormat="1" ht="15">
      <c r="A3" s="74" t="s">
        <v>17</v>
      </c>
      <c r="B3" s="74"/>
      <c r="C3" s="74"/>
      <c r="D3" s="74"/>
      <c r="E3" s="74"/>
      <c r="F3" s="74"/>
      <c r="G3" s="74"/>
      <c r="H3" s="27"/>
    </row>
    <row r="4" spans="1:8" s="1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1" customFormat="1" ht="14.25">
      <c r="A5" s="75" t="s">
        <v>19</v>
      </c>
      <c r="B5" s="75"/>
      <c r="C5" s="75"/>
      <c r="D5" s="75"/>
      <c r="E5" s="75"/>
      <c r="F5" s="75"/>
      <c r="G5" s="75"/>
      <c r="H5" s="29"/>
    </row>
    <row r="6" spans="1:8" s="1" customFormat="1" ht="14.25">
      <c r="A6" s="2"/>
      <c r="B6" s="2"/>
      <c r="C6" s="2"/>
      <c r="D6" s="2"/>
      <c r="E6" s="2"/>
      <c r="F6" s="2"/>
      <c r="G6" s="2"/>
      <c r="H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70" t="s">
        <v>25</v>
      </c>
      <c r="B8" s="71"/>
      <c r="C8" s="71"/>
      <c r="D8" s="71"/>
      <c r="E8" s="71"/>
      <c r="F8" s="71"/>
      <c r="G8" s="72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21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41363</v>
      </c>
      <c r="B13" s="15">
        <v>170478519.03</v>
      </c>
      <c r="C13" s="15">
        <v>1388065.03</v>
      </c>
      <c r="D13" s="15">
        <f aca="true" t="shared" si="0" ref="D13:D64">+B13-C13-E13</f>
        <v>157033232</v>
      </c>
      <c r="E13" s="15">
        <v>12057222</v>
      </c>
      <c r="F13" s="16">
        <f aca="true" t="shared" si="1" ref="F13:F18">37156/7</f>
        <v>5308</v>
      </c>
      <c r="G13" s="15">
        <v>325</v>
      </c>
    </row>
    <row r="14" spans="1:7" ht="12.75">
      <c r="A14" s="22">
        <f aca="true" t="shared" si="2" ref="A14:A64">+A13+7</f>
        <v>41370</v>
      </c>
      <c r="B14" s="15">
        <v>172897716.89</v>
      </c>
      <c r="C14" s="15">
        <v>1248122.89</v>
      </c>
      <c r="D14" s="15">
        <f t="shared" si="0"/>
        <v>159034056</v>
      </c>
      <c r="E14" s="15">
        <v>12615538</v>
      </c>
      <c r="F14" s="16">
        <f t="shared" si="1"/>
        <v>5308</v>
      </c>
      <c r="G14" s="15">
        <v>340</v>
      </c>
    </row>
    <row r="15" spans="1:7" ht="12.75">
      <c r="A15" s="22">
        <f t="shared" si="2"/>
        <v>41377</v>
      </c>
      <c r="B15" s="15">
        <v>161970838.74</v>
      </c>
      <c r="C15" s="15">
        <v>1104253.74</v>
      </c>
      <c r="D15" s="15">
        <f t="shared" si="0"/>
        <v>149085817</v>
      </c>
      <c r="E15" s="15">
        <v>11780768</v>
      </c>
      <c r="F15" s="16">
        <f t="shared" si="1"/>
        <v>5308</v>
      </c>
      <c r="G15" s="15">
        <v>317</v>
      </c>
    </row>
    <row r="16" spans="1:7" ht="12.75">
      <c r="A16" s="22">
        <f t="shared" si="2"/>
        <v>41384</v>
      </c>
      <c r="B16" s="15">
        <v>158751336.33</v>
      </c>
      <c r="C16" s="15">
        <v>1065438.33</v>
      </c>
      <c r="D16" s="15">
        <f t="shared" si="0"/>
        <v>146163294</v>
      </c>
      <c r="E16" s="15">
        <v>11522604</v>
      </c>
      <c r="F16" s="16">
        <f t="shared" si="1"/>
        <v>5308</v>
      </c>
      <c r="G16" s="15">
        <v>310</v>
      </c>
    </row>
    <row r="17" spans="1:7" ht="12.75">
      <c r="A17" s="22">
        <f t="shared" si="2"/>
        <v>41391</v>
      </c>
      <c r="B17" s="15">
        <v>156646019.54</v>
      </c>
      <c r="C17" s="15">
        <v>1065964.54</v>
      </c>
      <c r="D17" s="15">
        <f t="shared" si="0"/>
        <v>143890456</v>
      </c>
      <c r="E17" s="15">
        <v>11689599</v>
      </c>
      <c r="F17" s="16">
        <f t="shared" si="1"/>
        <v>5308</v>
      </c>
      <c r="G17" s="15">
        <v>315</v>
      </c>
    </row>
    <row r="18" spans="1:7" ht="12.75">
      <c r="A18" s="22">
        <f t="shared" si="2"/>
        <v>41398</v>
      </c>
      <c r="B18" s="15">
        <v>161201661.91</v>
      </c>
      <c r="C18" s="15">
        <v>1077597.91</v>
      </c>
      <c r="D18" s="15">
        <f t="shared" si="0"/>
        <v>148184872</v>
      </c>
      <c r="E18" s="15">
        <v>11939192</v>
      </c>
      <c r="F18" s="16">
        <f t="shared" si="1"/>
        <v>5308</v>
      </c>
      <c r="G18" s="15">
        <v>321</v>
      </c>
    </row>
    <row r="19" spans="1:7" ht="12.75">
      <c r="A19" s="22">
        <f t="shared" si="2"/>
        <v>41405</v>
      </c>
      <c r="B19" s="15">
        <v>154878659.68</v>
      </c>
      <c r="C19" s="15">
        <v>870289.68</v>
      </c>
      <c r="D19" s="15">
        <f t="shared" si="0"/>
        <v>142565641</v>
      </c>
      <c r="E19" s="15">
        <v>11442729</v>
      </c>
      <c r="F19" s="16">
        <f>37172/7</f>
        <v>5310.285714285715</v>
      </c>
      <c r="G19" s="15">
        <v>308</v>
      </c>
    </row>
    <row r="20" spans="1:7" ht="12.75">
      <c r="A20" s="22">
        <f t="shared" si="2"/>
        <v>41412</v>
      </c>
      <c r="B20" s="15">
        <v>160683379.55</v>
      </c>
      <c r="C20" s="15">
        <v>1017749.55</v>
      </c>
      <c r="D20" s="15">
        <f t="shared" si="0"/>
        <v>148073032</v>
      </c>
      <c r="E20" s="15">
        <v>11592598</v>
      </c>
      <c r="F20" s="16">
        <f>37226/7</f>
        <v>5318</v>
      </c>
      <c r="G20" s="15">
        <v>311</v>
      </c>
    </row>
    <row r="21" spans="1:7" ht="12.75">
      <c r="A21" s="22">
        <f t="shared" si="2"/>
        <v>41419</v>
      </c>
      <c r="B21" s="15">
        <v>151623935.28</v>
      </c>
      <c r="C21" s="15">
        <v>953345.28</v>
      </c>
      <c r="D21" s="15">
        <f t="shared" si="0"/>
        <v>139458874</v>
      </c>
      <c r="E21" s="15">
        <v>11211716</v>
      </c>
      <c r="F21" s="16">
        <f>37226/7</f>
        <v>5318</v>
      </c>
      <c r="G21" s="15">
        <v>301</v>
      </c>
    </row>
    <row r="22" spans="1:7" ht="12.75">
      <c r="A22" s="22">
        <f t="shared" si="2"/>
        <v>41426</v>
      </c>
      <c r="B22" s="15">
        <v>159160526.47</v>
      </c>
      <c r="C22" s="15">
        <v>933840.47</v>
      </c>
      <c r="D22" s="15">
        <f t="shared" si="0"/>
        <v>146443093</v>
      </c>
      <c r="E22" s="15">
        <v>11783593</v>
      </c>
      <c r="F22" s="16">
        <f>37226/7</f>
        <v>5318</v>
      </c>
      <c r="G22" s="15">
        <v>317</v>
      </c>
    </row>
    <row r="23" spans="1:7" ht="12.75">
      <c r="A23" s="22">
        <f t="shared" si="2"/>
        <v>41433</v>
      </c>
      <c r="B23" s="15">
        <v>152385954.63</v>
      </c>
      <c r="C23" s="15">
        <v>1015447.63</v>
      </c>
      <c r="D23" s="15">
        <f t="shared" si="0"/>
        <v>140564463</v>
      </c>
      <c r="E23" s="15">
        <v>10806044</v>
      </c>
      <c r="F23" s="16">
        <f>37224/7</f>
        <v>5317.714285714285</v>
      </c>
      <c r="G23" s="15">
        <v>290</v>
      </c>
    </row>
    <row r="24" spans="1:7" ht="12.75">
      <c r="A24" s="22">
        <f t="shared" si="2"/>
        <v>41440</v>
      </c>
      <c r="B24" s="15">
        <v>152750851.12</v>
      </c>
      <c r="C24" s="15">
        <v>1089000.12</v>
      </c>
      <c r="D24" s="15">
        <f t="shared" si="0"/>
        <v>140898467</v>
      </c>
      <c r="E24" s="15">
        <v>10763384</v>
      </c>
      <c r="F24" s="16">
        <f>37344/7</f>
        <v>5334.857142857143</v>
      </c>
      <c r="G24" s="15">
        <v>288</v>
      </c>
    </row>
    <row r="25" spans="1:7" ht="12.75">
      <c r="A25" s="22">
        <f t="shared" si="2"/>
        <v>41447</v>
      </c>
      <c r="B25" s="15">
        <v>153855071.94</v>
      </c>
      <c r="C25" s="15">
        <v>1223846.94</v>
      </c>
      <c r="D25" s="15">
        <f t="shared" si="0"/>
        <v>141549687</v>
      </c>
      <c r="E25" s="15">
        <v>11081538</v>
      </c>
      <c r="F25" s="16">
        <f aca="true" t="shared" si="3" ref="F25:F30">37604/7</f>
        <v>5372</v>
      </c>
      <c r="G25" s="15">
        <v>295</v>
      </c>
    </row>
    <row r="26" spans="1:7" ht="12.75">
      <c r="A26" s="22">
        <f t="shared" si="2"/>
        <v>41454</v>
      </c>
      <c r="B26" s="15">
        <v>151680483.28</v>
      </c>
      <c r="C26" s="15">
        <v>1295631.28</v>
      </c>
      <c r="D26" s="15">
        <f t="shared" si="0"/>
        <v>139603894</v>
      </c>
      <c r="E26" s="15">
        <v>10780958</v>
      </c>
      <c r="F26" s="16">
        <f t="shared" si="3"/>
        <v>5372</v>
      </c>
      <c r="G26" s="15">
        <v>287</v>
      </c>
    </row>
    <row r="27" spans="1:7" ht="12.75">
      <c r="A27" s="22">
        <f t="shared" si="2"/>
        <v>41461</v>
      </c>
      <c r="B27" s="15">
        <v>174847704.45</v>
      </c>
      <c r="C27" s="15">
        <v>1267511.45</v>
      </c>
      <c r="D27" s="15">
        <f t="shared" si="0"/>
        <v>161059570</v>
      </c>
      <c r="E27" s="15">
        <v>12520623</v>
      </c>
      <c r="F27" s="16">
        <f t="shared" si="3"/>
        <v>5372</v>
      </c>
      <c r="G27" s="15">
        <v>333</v>
      </c>
    </row>
    <row r="28" spans="1:7" ht="12.75">
      <c r="A28" s="22">
        <f t="shared" si="2"/>
        <v>41468</v>
      </c>
      <c r="B28" s="15">
        <v>144900360.98</v>
      </c>
      <c r="C28" s="15">
        <v>1054861.98</v>
      </c>
      <c r="D28" s="15">
        <f t="shared" si="0"/>
        <v>133258439</v>
      </c>
      <c r="E28" s="15">
        <v>10587060</v>
      </c>
      <c r="F28" s="16">
        <f t="shared" si="3"/>
        <v>5372</v>
      </c>
      <c r="G28" s="15">
        <v>282</v>
      </c>
    </row>
    <row r="29" spans="1:7" ht="12.75">
      <c r="A29" s="22">
        <f t="shared" si="2"/>
        <v>41475</v>
      </c>
      <c r="B29" s="15">
        <v>145715019.86</v>
      </c>
      <c r="C29" s="15">
        <v>1087317.86</v>
      </c>
      <c r="D29" s="15">
        <f t="shared" si="0"/>
        <v>134168717</v>
      </c>
      <c r="E29" s="15">
        <v>10458985</v>
      </c>
      <c r="F29" s="16">
        <f t="shared" si="3"/>
        <v>5372</v>
      </c>
      <c r="G29" s="15">
        <v>278</v>
      </c>
    </row>
    <row r="30" spans="1:7" ht="12.75">
      <c r="A30" s="22">
        <f t="shared" si="2"/>
        <v>41482</v>
      </c>
      <c r="B30" s="15">
        <v>146468864.21</v>
      </c>
      <c r="C30" s="15">
        <v>1055637.21</v>
      </c>
      <c r="D30" s="15">
        <f t="shared" si="0"/>
        <v>134932372</v>
      </c>
      <c r="E30" s="15">
        <v>10480855</v>
      </c>
      <c r="F30" s="16">
        <f t="shared" si="3"/>
        <v>5372</v>
      </c>
      <c r="G30" s="15">
        <v>279</v>
      </c>
    </row>
    <row r="31" spans="1:7" ht="12.75">
      <c r="A31" s="22">
        <f t="shared" si="2"/>
        <v>41489</v>
      </c>
      <c r="B31" s="15">
        <v>153700006.75</v>
      </c>
      <c r="C31" s="15">
        <v>1179037.75</v>
      </c>
      <c r="D31" s="15">
        <f t="shared" si="0"/>
        <v>141404258</v>
      </c>
      <c r="E31" s="15">
        <v>11116711</v>
      </c>
      <c r="F31" s="16">
        <f>37604/7</f>
        <v>5372</v>
      </c>
      <c r="G31" s="15">
        <v>296</v>
      </c>
    </row>
    <row r="32" spans="1:7" ht="12.75">
      <c r="A32" s="22">
        <f t="shared" si="2"/>
        <v>41496</v>
      </c>
      <c r="B32" s="15">
        <v>152473876.12</v>
      </c>
      <c r="C32" s="15">
        <v>964721.12</v>
      </c>
      <c r="D32" s="15">
        <f t="shared" si="0"/>
        <v>140545048</v>
      </c>
      <c r="E32" s="15">
        <v>10964107</v>
      </c>
      <c r="F32" s="16">
        <f>37448/7</f>
        <v>5349.714285714285</v>
      </c>
      <c r="G32" s="15">
        <v>293</v>
      </c>
    </row>
    <row r="33" spans="1:7" ht="12.75">
      <c r="A33" s="22">
        <f t="shared" si="2"/>
        <v>41503</v>
      </c>
      <c r="B33" s="15">
        <v>152325738.83</v>
      </c>
      <c r="C33" s="15">
        <v>1176938.83</v>
      </c>
      <c r="D33" s="15">
        <f t="shared" si="0"/>
        <v>140466303</v>
      </c>
      <c r="E33" s="15">
        <v>10682497</v>
      </c>
      <c r="F33" s="16">
        <f>37342/7</f>
        <v>5334.571428571428</v>
      </c>
      <c r="G33" s="15">
        <v>286</v>
      </c>
    </row>
    <row r="34" spans="1:7" ht="12.75">
      <c r="A34" s="22">
        <f t="shared" si="2"/>
        <v>41510</v>
      </c>
      <c r="B34" s="15">
        <v>145537668.25</v>
      </c>
      <c r="C34" s="15">
        <v>1268038.25</v>
      </c>
      <c r="D34" s="15">
        <f t="shared" si="0"/>
        <v>134224155</v>
      </c>
      <c r="E34" s="15">
        <v>10045475</v>
      </c>
      <c r="F34" s="16">
        <f>37395/7</f>
        <v>5342.142857142857</v>
      </c>
      <c r="G34" s="15">
        <v>269</v>
      </c>
    </row>
    <row r="35" spans="1:7" ht="12.75">
      <c r="A35" s="22">
        <f t="shared" si="2"/>
        <v>41517</v>
      </c>
      <c r="B35" s="15">
        <v>155615893.67</v>
      </c>
      <c r="C35" s="15">
        <v>1232575.67</v>
      </c>
      <c r="D35" s="15">
        <f t="shared" si="0"/>
        <v>143395687</v>
      </c>
      <c r="E35" s="15">
        <v>10987631</v>
      </c>
      <c r="F35" s="16">
        <f>37599/7</f>
        <v>5371.285714285715</v>
      </c>
      <c r="G35" s="15">
        <v>292</v>
      </c>
    </row>
    <row r="36" spans="1:7" ht="12.75">
      <c r="A36" s="22">
        <f t="shared" si="2"/>
        <v>41524</v>
      </c>
      <c r="B36" s="15">
        <v>170571296.31</v>
      </c>
      <c r="C36" s="15">
        <v>1653827.31</v>
      </c>
      <c r="D36" s="15">
        <f t="shared" si="0"/>
        <v>156911544</v>
      </c>
      <c r="E36" s="15">
        <v>12005925</v>
      </c>
      <c r="F36" s="16">
        <f>37765/7</f>
        <v>5395</v>
      </c>
      <c r="G36" s="15">
        <v>318</v>
      </c>
    </row>
    <row r="37" spans="1:7" ht="12.75">
      <c r="A37" s="22">
        <f t="shared" si="2"/>
        <v>41531</v>
      </c>
      <c r="B37" s="15">
        <v>144407648.68</v>
      </c>
      <c r="C37" s="15">
        <v>1333321.68</v>
      </c>
      <c r="D37" s="15">
        <f t="shared" si="0"/>
        <v>132971235</v>
      </c>
      <c r="E37" s="15">
        <v>10103092</v>
      </c>
      <c r="F37" s="16">
        <f>37765/7</f>
        <v>5395</v>
      </c>
      <c r="G37" s="15">
        <v>268</v>
      </c>
    </row>
    <row r="38" spans="1:7" ht="12.75">
      <c r="A38" s="22">
        <f t="shared" si="2"/>
        <v>41538</v>
      </c>
      <c r="B38" s="15">
        <v>141793163.6</v>
      </c>
      <c r="C38" s="15">
        <v>1224417.6</v>
      </c>
      <c r="D38" s="15">
        <f t="shared" si="0"/>
        <v>130792121</v>
      </c>
      <c r="E38" s="15">
        <v>9776625</v>
      </c>
      <c r="F38" s="16">
        <f>37780/7</f>
        <v>5397.142857142857</v>
      </c>
      <c r="G38" s="15">
        <v>259</v>
      </c>
    </row>
    <row r="39" spans="1:7" ht="12.75">
      <c r="A39" s="22">
        <f t="shared" si="2"/>
        <v>41545</v>
      </c>
      <c r="B39" s="15">
        <v>143541107.68</v>
      </c>
      <c r="C39" s="15">
        <v>966057.68</v>
      </c>
      <c r="D39" s="15">
        <f t="shared" si="0"/>
        <v>132501492</v>
      </c>
      <c r="E39" s="15">
        <v>10073558</v>
      </c>
      <c r="F39" s="16">
        <f>37766/7</f>
        <v>5395.142857142857</v>
      </c>
      <c r="G39" s="15">
        <v>267</v>
      </c>
    </row>
    <row r="40" spans="1:7" ht="12.75">
      <c r="A40" s="22">
        <f t="shared" si="2"/>
        <v>41552</v>
      </c>
      <c r="B40" s="15">
        <v>151736668.24</v>
      </c>
      <c r="C40" s="15">
        <f>1275678.24-42144</f>
        <v>1233534.24</v>
      </c>
      <c r="D40" s="15">
        <f t="shared" si="0"/>
        <v>139855104</v>
      </c>
      <c r="E40" s="15">
        <v>10648030</v>
      </c>
      <c r="F40" s="16">
        <f aca="true" t="shared" si="4" ref="F40:F45">37814/7</f>
        <v>5402</v>
      </c>
      <c r="G40" s="15">
        <v>282</v>
      </c>
    </row>
    <row r="41" spans="1:7" ht="12.75">
      <c r="A41" s="22">
        <f t="shared" si="2"/>
        <v>41559</v>
      </c>
      <c r="B41" s="15">
        <v>145668123.25</v>
      </c>
      <c r="C41" s="15">
        <v>1060315.25</v>
      </c>
      <c r="D41" s="15">
        <f t="shared" si="0"/>
        <v>134352681</v>
      </c>
      <c r="E41" s="15">
        <v>10255127</v>
      </c>
      <c r="F41" s="16">
        <f t="shared" si="4"/>
        <v>5402</v>
      </c>
      <c r="G41" s="15">
        <v>271</v>
      </c>
    </row>
    <row r="42" spans="1:7" ht="12.75">
      <c r="A42" s="22">
        <f t="shared" si="2"/>
        <v>41566</v>
      </c>
      <c r="B42" s="15">
        <v>144103934.01</v>
      </c>
      <c r="C42" s="15">
        <v>1112596.01</v>
      </c>
      <c r="D42" s="15">
        <f t="shared" si="0"/>
        <v>132832441</v>
      </c>
      <c r="E42" s="15">
        <v>10158897</v>
      </c>
      <c r="F42" s="16">
        <f t="shared" si="4"/>
        <v>5402</v>
      </c>
      <c r="G42" s="15">
        <v>269</v>
      </c>
    </row>
    <row r="43" spans="1:7" ht="12.75">
      <c r="A43" s="22">
        <f t="shared" si="2"/>
        <v>41573</v>
      </c>
      <c r="B43" s="15">
        <v>134307388.03</v>
      </c>
      <c r="C43" s="15">
        <f>986388.03-749848</f>
        <v>236540.03000000003</v>
      </c>
      <c r="D43" s="15">
        <f t="shared" si="0"/>
        <v>123787703</v>
      </c>
      <c r="E43" s="15">
        <v>10283145</v>
      </c>
      <c r="F43" s="16">
        <f t="shared" si="4"/>
        <v>5402</v>
      </c>
      <c r="G43" s="15">
        <v>272</v>
      </c>
    </row>
    <row r="44" spans="1:7" ht="12.75">
      <c r="A44" s="22">
        <f t="shared" si="2"/>
        <v>41580</v>
      </c>
      <c r="B44" s="15">
        <v>145095490.02</v>
      </c>
      <c r="C44" s="15">
        <v>1063867.02</v>
      </c>
      <c r="D44" s="15">
        <f t="shared" si="0"/>
        <v>133837633</v>
      </c>
      <c r="E44" s="15">
        <v>10193990</v>
      </c>
      <c r="F44" s="16">
        <f t="shared" si="4"/>
        <v>5402</v>
      </c>
      <c r="G44" s="15">
        <v>270</v>
      </c>
    </row>
    <row r="45" spans="1:7" ht="12.75">
      <c r="A45" s="22">
        <f t="shared" si="2"/>
        <v>41587</v>
      </c>
      <c r="B45" s="15">
        <v>140183648.35</v>
      </c>
      <c r="C45" s="15">
        <v>908128.35</v>
      </c>
      <c r="D45" s="15">
        <f t="shared" si="0"/>
        <v>129625128</v>
      </c>
      <c r="E45" s="15">
        <v>9650392</v>
      </c>
      <c r="F45" s="16">
        <f t="shared" si="4"/>
        <v>5402</v>
      </c>
      <c r="G45" s="15">
        <v>255</v>
      </c>
    </row>
    <row r="46" spans="1:7" ht="12.75">
      <c r="A46" s="22">
        <f t="shared" si="2"/>
        <v>41594</v>
      </c>
      <c r="B46" s="15">
        <v>133277363.85</v>
      </c>
      <c r="C46" s="15">
        <v>864641.85</v>
      </c>
      <c r="D46" s="15">
        <f t="shared" si="0"/>
        <v>123074875</v>
      </c>
      <c r="E46" s="15">
        <v>9337847</v>
      </c>
      <c r="F46" s="16">
        <f>37814/7</f>
        <v>5402</v>
      </c>
      <c r="G46" s="15">
        <v>247</v>
      </c>
    </row>
    <row r="47" spans="1:7" ht="12.75">
      <c r="A47" s="22">
        <f t="shared" si="2"/>
        <v>41601</v>
      </c>
      <c r="B47" s="15">
        <v>129266313.25</v>
      </c>
      <c r="C47" s="15">
        <v>846935.25</v>
      </c>
      <c r="D47" s="15">
        <f t="shared" si="0"/>
        <v>119720537</v>
      </c>
      <c r="E47" s="15">
        <v>8698841</v>
      </c>
      <c r="F47" s="16">
        <f>37814/7</f>
        <v>5402</v>
      </c>
      <c r="G47" s="15">
        <v>230</v>
      </c>
    </row>
    <row r="48" spans="1:7" ht="12.75">
      <c r="A48" s="22">
        <f t="shared" si="2"/>
        <v>41608</v>
      </c>
      <c r="B48" s="15">
        <v>134642183.58</v>
      </c>
      <c r="C48" s="15">
        <v>731735.58</v>
      </c>
      <c r="D48" s="15">
        <f t="shared" si="0"/>
        <v>124492331.00000001</v>
      </c>
      <c r="E48" s="15">
        <v>9418117</v>
      </c>
      <c r="F48" s="16">
        <f>37814/7</f>
        <v>5402</v>
      </c>
      <c r="G48" s="15">
        <v>249</v>
      </c>
    </row>
    <row r="49" spans="1:7" ht="12.75">
      <c r="A49" s="22">
        <f t="shared" si="2"/>
        <v>41615</v>
      </c>
      <c r="B49" s="15">
        <v>142461576.91</v>
      </c>
      <c r="C49" s="15">
        <v>878828.91</v>
      </c>
      <c r="D49" s="15">
        <f t="shared" si="0"/>
        <v>131825469</v>
      </c>
      <c r="E49" s="15">
        <v>9757279</v>
      </c>
      <c r="F49" s="16">
        <f>37814/7</f>
        <v>5402</v>
      </c>
      <c r="G49" s="15">
        <v>258</v>
      </c>
    </row>
    <row r="50" spans="1:7" ht="12.75">
      <c r="A50" s="22">
        <f t="shared" si="2"/>
        <v>41622</v>
      </c>
      <c r="B50" s="15">
        <v>105805691.25</v>
      </c>
      <c r="C50" s="15">
        <v>585979.25</v>
      </c>
      <c r="D50" s="15">
        <f t="shared" si="0"/>
        <v>97878506</v>
      </c>
      <c r="E50" s="15">
        <v>7341206</v>
      </c>
      <c r="F50" s="16">
        <f>37814/7</f>
        <v>5402</v>
      </c>
      <c r="G50" s="15">
        <v>194</v>
      </c>
    </row>
    <row r="51" spans="1:7" ht="12.75">
      <c r="A51" s="22">
        <f t="shared" si="2"/>
        <v>41629</v>
      </c>
      <c r="B51" s="15">
        <v>130731421.36</v>
      </c>
      <c r="C51" s="15">
        <v>684757.36</v>
      </c>
      <c r="D51" s="15">
        <f t="shared" si="0"/>
        <v>120874603</v>
      </c>
      <c r="E51" s="15">
        <v>9172061</v>
      </c>
      <c r="F51" s="16">
        <f>37858/7</f>
        <v>5408.285714285715</v>
      </c>
      <c r="G51" s="15">
        <v>242</v>
      </c>
    </row>
    <row r="52" spans="1:7" ht="12.75">
      <c r="A52" s="22">
        <f t="shared" si="2"/>
        <v>41636</v>
      </c>
      <c r="B52" s="15">
        <v>153244955.91</v>
      </c>
      <c r="C52" s="15">
        <v>703956.91</v>
      </c>
      <c r="D52" s="15">
        <f t="shared" si="0"/>
        <v>141949765</v>
      </c>
      <c r="E52" s="15">
        <v>10591234</v>
      </c>
      <c r="F52" s="16">
        <f aca="true" t="shared" si="5" ref="F52:F57">37884/7</f>
        <v>5412</v>
      </c>
      <c r="G52" s="15">
        <v>280</v>
      </c>
    </row>
    <row r="53" spans="1:7" ht="12.75">
      <c r="A53" s="22">
        <f t="shared" si="2"/>
        <v>41643</v>
      </c>
      <c r="B53" s="15">
        <v>140238448.37</v>
      </c>
      <c r="C53" s="15">
        <v>814506.37</v>
      </c>
      <c r="D53" s="15">
        <f t="shared" si="0"/>
        <v>129393995</v>
      </c>
      <c r="E53" s="15">
        <v>10029947</v>
      </c>
      <c r="F53" s="16">
        <f t="shared" si="5"/>
        <v>5412</v>
      </c>
      <c r="G53" s="15">
        <v>265</v>
      </c>
    </row>
    <row r="54" spans="1:7" ht="12.75">
      <c r="A54" s="22">
        <f t="shared" si="2"/>
        <v>41650</v>
      </c>
      <c r="B54" s="15">
        <v>127109008.46</v>
      </c>
      <c r="C54" s="15">
        <v>766723.46</v>
      </c>
      <c r="D54" s="15">
        <f t="shared" si="0"/>
        <v>117769250</v>
      </c>
      <c r="E54" s="15">
        <v>8573035</v>
      </c>
      <c r="F54" s="16">
        <f t="shared" si="5"/>
        <v>5412</v>
      </c>
      <c r="G54" s="15">
        <v>226</v>
      </c>
    </row>
    <row r="55" spans="1:7" ht="12.75">
      <c r="A55" s="22">
        <f t="shared" si="2"/>
        <v>41657</v>
      </c>
      <c r="B55" s="15">
        <v>141636536.52</v>
      </c>
      <c r="C55" s="15">
        <v>821329.52</v>
      </c>
      <c r="D55" s="15">
        <f t="shared" si="0"/>
        <v>131011259</v>
      </c>
      <c r="E55" s="15">
        <v>9803948</v>
      </c>
      <c r="F55" s="16">
        <f t="shared" si="5"/>
        <v>5412</v>
      </c>
      <c r="G55" s="15">
        <v>259</v>
      </c>
    </row>
    <row r="56" spans="1:7" ht="12.75">
      <c r="A56" s="22">
        <f t="shared" si="2"/>
        <v>41664</v>
      </c>
      <c r="B56" s="15">
        <v>117244380.94</v>
      </c>
      <c r="C56" s="15">
        <v>776407.94</v>
      </c>
      <c r="D56" s="15">
        <f t="shared" si="0"/>
        <v>108362296</v>
      </c>
      <c r="E56" s="15">
        <v>8105677</v>
      </c>
      <c r="F56" s="16">
        <f t="shared" si="5"/>
        <v>5412</v>
      </c>
      <c r="G56" s="15">
        <v>214</v>
      </c>
    </row>
    <row r="57" spans="1:7" ht="12.75">
      <c r="A57" s="22">
        <f t="shared" si="2"/>
        <v>41671</v>
      </c>
      <c r="B57" s="15">
        <v>147899303.84</v>
      </c>
      <c r="C57" s="15">
        <v>1120522.84</v>
      </c>
      <c r="D57" s="15">
        <f t="shared" si="0"/>
        <v>136803222</v>
      </c>
      <c r="E57" s="15">
        <v>9975559</v>
      </c>
      <c r="F57" s="16">
        <f t="shared" si="5"/>
        <v>5412</v>
      </c>
      <c r="G57" s="15">
        <v>263</v>
      </c>
    </row>
    <row r="58" spans="1:7" ht="12.75">
      <c r="A58" s="22">
        <f t="shared" si="2"/>
        <v>41678</v>
      </c>
      <c r="B58" s="15">
        <v>130726383.73</v>
      </c>
      <c r="C58" s="15">
        <f>892531.73-6640</f>
        <v>885891.73</v>
      </c>
      <c r="D58" s="15">
        <f t="shared" si="0"/>
        <v>121130056</v>
      </c>
      <c r="E58" s="15">
        <v>8710436</v>
      </c>
      <c r="F58" s="16">
        <f>37884/7</f>
        <v>5412</v>
      </c>
      <c r="G58" s="15">
        <v>230</v>
      </c>
    </row>
    <row r="59" spans="1:7" ht="12.75">
      <c r="A59" s="22">
        <f t="shared" si="2"/>
        <v>41685</v>
      </c>
      <c r="B59" s="15">
        <v>120503976.12</v>
      </c>
      <c r="C59" s="15">
        <v>754076.12</v>
      </c>
      <c r="D59" s="15">
        <f t="shared" si="0"/>
        <v>111527398</v>
      </c>
      <c r="E59" s="15">
        <v>8222502</v>
      </c>
      <c r="F59" s="16">
        <f>37884/7</f>
        <v>5412</v>
      </c>
      <c r="G59" s="15">
        <v>217</v>
      </c>
    </row>
    <row r="60" spans="1:7" ht="12.75">
      <c r="A60" s="22">
        <f t="shared" si="2"/>
        <v>41692</v>
      </c>
      <c r="B60" s="15">
        <v>171892550.41</v>
      </c>
      <c r="C60" s="15">
        <v>1182164.41</v>
      </c>
      <c r="D60" s="15">
        <f t="shared" si="0"/>
        <v>158735297</v>
      </c>
      <c r="E60" s="15">
        <v>11975089</v>
      </c>
      <c r="F60" s="16">
        <f>37638/7</f>
        <v>5376.857142857143</v>
      </c>
      <c r="G60" s="15">
        <v>318</v>
      </c>
    </row>
    <row r="61" spans="1:7" ht="12.75">
      <c r="A61" s="22">
        <f t="shared" si="2"/>
        <v>41699</v>
      </c>
      <c r="B61" s="15">
        <v>169220571.92</v>
      </c>
      <c r="C61" s="15">
        <v>1227208.92</v>
      </c>
      <c r="D61" s="15">
        <f t="shared" si="0"/>
        <v>156184614</v>
      </c>
      <c r="E61" s="15">
        <v>11808749</v>
      </c>
      <c r="F61" s="16">
        <f>37586/7</f>
        <v>5369.428571428572</v>
      </c>
      <c r="G61" s="15">
        <v>314</v>
      </c>
    </row>
    <row r="62" spans="1:7" ht="12.75">
      <c r="A62" s="22">
        <f t="shared" si="2"/>
        <v>41706</v>
      </c>
      <c r="B62" s="15">
        <v>168041670.59</v>
      </c>
      <c r="C62" s="15">
        <v>1180354.59</v>
      </c>
      <c r="D62" s="15">
        <f t="shared" si="0"/>
        <v>155391631</v>
      </c>
      <c r="E62" s="15">
        <v>11469685</v>
      </c>
      <c r="F62" s="16">
        <f>37821/7</f>
        <v>5403</v>
      </c>
      <c r="G62" s="15">
        <v>303</v>
      </c>
    </row>
    <row r="63" spans="1:7" ht="12.75">
      <c r="A63" s="22">
        <f t="shared" si="2"/>
        <v>41713</v>
      </c>
      <c r="B63" s="15">
        <v>166079982.1</v>
      </c>
      <c r="C63" s="15">
        <f>1219488.1-8577</f>
        <v>1210911.1</v>
      </c>
      <c r="D63" s="15">
        <f t="shared" si="0"/>
        <v>153558086</v>
      </c>
      <c r="E63" s="15">
        <v>11310985</v>
      </c>
      <c r="F63" s="16">
        <f>37821/7</f>
        <v>5403</v>
      </c>
      <c r="G63" s="15">
        <v>299</v>
      </c>
    </row>
    <row r="64" spans="1:7" ht="12.75">
      <c r="A64" s="22">
        <f t="shared" si="2"/>
        <v>41720</v>
      </c>
      <c r="B64" s="15">
        <v>167663839</v>
      </c>
      <c r="C64" s="15">
        <v>1360306</v>
      </c>
      <c r="D64" s="15">
        <f t="shared" si="0"/>
        <v>154999213</v>
      </c>
      <c r="E64" s="15">
        <v>11304320</v>
      </c>
      <c r="F64" s="16">
        <f>37821/7</f>
        <v>5403</v>
      </c>
      <c r="G64" s="15">
        <v>299</v>
      </c>
    </row>
    <row r="65" ht="12.75">
      <c r="A65" s="22"/>
    </row>
    <row r="66" spans="1:7" ht="13.5" thickBot="1">
      <c r="A66" s="3" t="s">
        <v>8</v>
      </c>
      <c r="B66" s="17">
        <f>SUM(B13:B64)</f>
        <v>7749644713.79</v>
      </c>
      <c r="C66" s="17">
        <f>SUM(C13:C64)</f>
        <v>53825076.79</v>
      </c>
      <c r="D66" s="17">
        <f>SUM(D13:D64)</f>
        <v>7148152912</v>
      </c>
      <c r="E66" s="17">
        <f>SUM(E13:E64)</f>
        <v>547666725</v>
      </c>
      <c r="F66" s="24">
        <f>SUM(F13:F64)/COUNT(F13:F64)</f>
        <v>5373.662087912088</v>
      </c>
      <c r="G66" s="17">
        <f>+E66/SUM(F13:F64)/7</f>
        <v>279.99135230696317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16.00390625" style="3" customWidth="1"/>
    <col min="2" max="5" width="16.00390625" style="15" customWidth="1"/>
    <col min="6" max="6" width="16.00390625" style="16" customWidth="1"/>
    <col min="7" max="7" width="16.00390625" style="15" customWidth="1"/>
  </cols>
  <sheetData>
    <row r="1" spans="1:8" ht="18">
      <c r="A1" s="73" t="s">
        <v>15</v>
      </c>
      <c r="B1" s="73"/>
      <c r="C1" s="73"/>
      <c r="D1" s="73"/>
      <c r="E1" s="73"/>
      <c r="F1" s="73"/>
      <c r="G1" s="73"/>
      <c r="H1" s="26"/>
    </row>
    <row r="2" spans="1:8" ht="15">
      <c r="A2" s="74" t="s">
        <v>16</v>
      </c>
      <c r="B2" s="74"/>
      <c r="C2" s="74"/>
      <c r="D2" s="74"/>
      <c r="E2" s="74"/>
      <c r="F2" s="74"/>
      <c r="G2" s="74"/>
      <c r="H2" s="27"/>
    </row>
    <row r="3" spans="1:8" s="1" customFormat="1" ht="15">
      <c r="A3" s="74" t="s">
        <v>17</v>
      </c>
      <c r="B3" s="74"/>
      <c r="C3" s="74"/>
      <c r="D3" s="74"/>
      <c r="E3" s="74"/>
      <c r="F3" s="74"/>
      <c r="G3" s="74"/>
      <c r="H3" s="27"/>
    </row>
    <row r="4" spans="1:8" s="1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1" customFormat="1" ht="14.25">
      <c r="A5" s="75" t="s">
        <v>19</v>
      </c>
      <c r="B5" s="75"/>
      <c r="C5" s="75"/>
      <c r="D5" s="75"/>
      <c r="E5" s="75"/>
      <c r="F5" s="75"/>
      <c r="G5" s="75"/>
      <c r="H5" s="29"/>
    </row>
    <row r="6" spans="1:8" s="1" customFormat="1" ht="14.25">
      <c r="A6" s="2"/>
      <c r="B6" s="2"/>
      <c r="C6" s="2"/>
      <c r="D6" s="2"/>
      <c r="E6" s="2"/>
      <c r="F6" s="2"/>
      <c r="G6" s="2"/>
      <c r="H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70" t="s">
        <v>23</v>
      </c>
      <c r="B8" s="71"/>
      <c r="C8" s="71"/>
      <c r="D8" s="71"/>
      <c r="E8" s="71"/>
      <c r="F8" s="71"/>
      <c r="G8" s="72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21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40999</v>
      </c>
      <c r="B13" s="15">
        <v>146606502.02</v>
      </c>
      <c r="C13" s="15">
        <v>650989.02</v>
      </c>
      <c r="D13" s="15">
        <f aca="true" t="shared" si="0" ref="D13:D64">+B13-C13-E13</f>
        <v>134431532</v>
      </c>
      <c r="E13" s="15">
        <v>11523981</v>
      </c>
      <c r="F13" s="16">
        <f>34707/7</f>
        <v>4958.142857142857</v>
      </c>
      <c r="G13" s="15">
        <v>332</v>
      </c>
    </row>
    <row r="14" spans="1:7" ht="12.75">
      <c r="A14" s="22">
        <f aca="true" t="shared" si="1" ref="A14:A64">+A13+7</f>
        <v>41006</v>
      </c>
      <c r="B14" s="15">
        <v>147880622.99</v>
      </c>
      <c r="C14" s="15">
        <v>835667.99</v>
      </c>
      <c r="D14" s="15">
        <f t="shared" si="0"/>
        <v>135775675</v>
      </c>
      <c r="E14" s="15">
        <v>11269280</v>
      </c>
      <c r="F14" s="16">
        <f>34398/7</f>
        <v>4914</v>
      </c>
      <c r="G14" s="15">
        <v>328</v>
      </c>
    </row>
    <row r="15" spans="1:7" ht="12.75">
      <c r="A15" s="22">
        <f t="shared" si="1"/>
        <v>41013</v>
      </c>
      <c r="B15" s="15">
        <v>150915037.7</v>
      </c>
      <c r="C15" s="15">
        <v>528513.7</v>
      </c>
      <c r="D15" s="15">
        <f t="shared" si="0"/>
        <v>138279064</v>
      </c>
      <c r="E15" s="15">
        <v>12107460</v>
      </c>
      <c r="F15" s="16">
        <f>34474/7</f>
        <v>4924.857142857143</v>
      </c>
      <c r="G15" s="15">
        <v>351</v>
      </c>
    </row>
    <row r="16" spans="1:7" ht="12.75">
      <c r="A16" s="22">
        <f t="shared" si="1"/>
        <v>41020</v>
      </c>
      <c r="B16" s="15">
        <v>138817672</v>
      </c>
      <c r="C16" s="15">
        <v>700497</v>
      </c>
      <c r="D16" s="15">
        <f t="shared" si="0"/>
        <v>127528072</v>
      </c>
      <c r="E16" s="15">
        <v>10589103</v>
      </c>
      <c r="F16" s="16">
        <f>33945/7</f>
        <v>4849.285714285715</v>
      </c>
      <c r="G16" s="15">
        <v>312</v>
      </c>
    </row>
    <row r="17" spans="1:7" ht="12.75">
      <c r="A17" s="22">
        <f t="shared" si="1"/>
        <v>41027</v>
      </c>
      <c r="B17" s="15">
        <v>137395922.63</v>
      </c>
      <c r="C17" s="15">
        <v>655873.63</v>
      </c>
      <c r="D17" s="15">
        <f t="shared" si="0"/>
        <v>126148739</v>
      </c>
      <c r="E17" s="15">
        <v>10591310</v>
      </c>
      <c r="F17" s="16">
        <f>33288/7</f>
        <v>4755.428571428572</v>
      </c>
      <c r="G17" s="15">
        <v>318</v>
      </c>
    </row>
    <row r="18" spans="1:7" ht="12.75">
      <c r="A18" s="22">
        <f t="shared" si="1"/>
        <v>41034</v>
      </c>
      <c r="B18" s="15">
        <v>148380130.26</v>
      </c>
      <c r="C18" s="15">
        <v>753239.26</v>
      </c>
      <c r="D18" s="15">
        <f t="shared" si="0"/>
        <v>135971221</v>
      </c>
      <c r="E18" s="15">
        <v>11655670</v>
      </c>
      <c r="F18" s="16">
        <f>33451/7</f>
        <v>4778.714285714285</v>
      </c>
      <c r="G18" s="15">
        <v>348</v>
      </c>
    </row>
    <row r="19" spans="1:7" ht="12.75">
      <c r="A19" s="22">
        <f t="shared" si="1"/>
        <v>41041</v>
      </c>
      <c r="B19" s="15">
        <v>137689917.1</v>
      </c>
      <c r="C19" s="15">
        <v>763161.1</v>
      </c>
      <c r="D19" s="15">
        <f t="shared" si="0"/>
        <v>126126901</v>
      </c>
      <c r="E19" s="15">
        <v>10799855</v>
      </c>
      <c r="F19" s="16">
        <f>34043/7</f>
        <v>4863.285714285715</v>
      </c>
      <c r="G19" s="15">
        <v>317</v>
      </c>
    </row>
    <row r="20" spans="1:7" ht="12.75">
      <c r="A20" s="22">
        <f t="shared" si="1"/>
        <v>41048</v>
      </c>
      <c r="B20" s="15">
        <v>139752915.43</v>
      </c>
      <c r="C20" s="15">
        <v>763911.43</v>
      </c>
      <c r="D20" s="15">
        <f t="shared" si="0"/>
        <v>128406296</v>
      </c>
      <c r="E20" s="15">
        <v>10582708</v>
      </c>
      <c r="F20" s="16">
        <f>34401/7</f>
        <v>4914.428571428572</v>
      </c>
      <c r="G20" s="15">
        <v>308</v>
      </c>
    </row>
    <row r="21" spans="1:7" ht="12.75">
      <c r="A21" s="22">
        <f t="shared" si="1"/>
        <v>41055</v>
      </c>
      <c r="B21" s="15">
        <v>134036980.19</v>
      </c>
      <c r="C21" s="15">
        <v>737490.19</v>
      </c>
      <c r="D21" s="15">
        <f t="shared" si="0"/>
        <v>123342484</v>
      </c>
      <c r="E21" s="15">
        <v>9957006</v>
      </c>
      <c r="F21" s="16">
        <f>34641/7</f>
        <v>4948.714285714285</v>
      </c>
      <c r="G21" s="15">
        <v>287</v>
      </c>
    </row>
    <row r="22" spans="1:7" ht="12.75">
      <c r="A22" s="22">
        <f t="shared" si="1"/>
        <v>41062</v>
      </c>
      <c r="B22" s="15">
        <v>148582025.25</v>
      </c>
      <c r="C22" s="15">
        <v>896095.25</v>
      </c>
      <c r="D22" s="15">
        <f t="shared" si="0"/>
        <v>136082593</v>
      </c>
      <c r="E22" s="15">
        <v>11603337</v>
      </c>
      <c r="F22" s="16">
        <f>34619/7</f>
        <v>4945.571428571428</v>
      </c>
      <c r="G22" s="15">
        <v>335</v>
      </c>
    </row>
    <row r="23" spans="1:7" ht="12.75">
      <c r="A23" s="22">
        <f t="shared" si="1"/>
        <v>41069</v>
      </c>
      <c r="B23" s="15">
        <v>136528361.18</v>
      </c>
      <c r="C23" s="15">
        <v>755114.18</v>
      </c>
      <c r="D23" s="15">
        <f t="shared" si="0"/>
        <v>125329148</v>
      </c>
      <c r="E23" s="15">
        <v>10444099</v>
      </c>
      <c r="F23" s="16">
        <f>34821/7</f>
        <v>4974.428571428572</v>
      </c>
      <c r="G23" s="15">
        <v>300</v>
      </c>
    </row>
    <row r="24" spans="1:7" ht="12.75">
      <c r="A24" s="22">
        <f t="shared" si="1"/>
        <v>41076</v>
      </c>
      <c r="B24" s="15">
        <v>133521345.47</v>
      </c>
      <c r="C24" s="15">
        <v>741933.47</v>
      </c>
      <c r="D24" s="15">
        <f t="shared" si="0"/>
        <v>122631790</v>
      </c>
      <c r="E24" s="15">
        <v>10147622</v>
      </c>
      <c r="F24" s="16">
        <f>34865/7</f>
        <v>4980.714285714285</v>
      </c>
      <c r="G24" s="15">
        <v>291</v>
      </c>
    </row>
    <row r="25" spans="1:7" ht="12.75">
      <c r="A25" s="22">
        <f t="shared" si="1"/>
        <v>41083</v>
      </c>
      <c r="B25" s="15">
        <v>134339750.39</v>
      </c>
      <c r="C25" s="15">
        <v>745402.39</v>
      </c>
      <c r="D25" s="15">
        <f t="shared" si="0"/>
        <v>123367021.99999999</v>
      </c>
      <c r="E25" s="15">
        <v>10227326</v>
      </c>
      <c r="F25" s="16">
        <f>34895/7</f>
        <v>4985</v>
      </c>
      <c r="G25" s="15">
        <v>293</v>
      </c>
    </row>
    <row r="26" spans="1:7" ht="12.75">
      <c r="A26" s="22">
        <f t="shared" si="1"/>
        <v>41090</v>
      </c>
      <c r="B26" s="15">
        <v>138797553.56</v>
      </c>
      <c r="C26" s="15">
        <v>675252.56</v>
      </c>
      <c r="D26" s="15">
        <f t="shared" si="0"/>
        <v>127465497</v>
      </c>
      <c r="E26" s="15">
        <v>10656804</v>
      </c>
      <c r="F26" s="16">
        <f>34895/7</f>
        <v>4985</v>
      </c>
      <c r="G26" s="15">
        <v>305</v>
      </c>
    </row>
    <row r="27" spans="1:7" ht="12.75">
      <c r="A27" s="22">
        <f t="shared" si="1"/>
        <v>41097</v>
      </c>
      <c r="B27" s="15">
        <v>158924011.32</v>
      </c>
      <c r="C27" s="15">
        <v>1446375.32</v>
      </c>
      <c r="D27" s="15">
        <f t="shared" si="0"/>
        <v>145772640</v>
      </c>
      <c r="E27" s="15">
        <v>11704996</v>
      </c>
      <c r="F27" s="16">
        <f>34895/7</f>
        <v>4985</v>
      </c>
      <c r="G27" s="15">
        <v>335</v>
      </c>
    </row>
    <row r="28" spans="1:7" ht="12.75">
      <c r="A28" s="22">
        <f t="shared" si="1"/>
        <v>41104</v>
      </c>
      <c r="B28" s="15">
        <v>142712597.67</v>
      </c>
      <c r="C28" s="15">
        <v>1169345.67</v>
      </c>
      <c r="D28" s="15">
        <f t="shared" si="0"/>
        <v>131101875</v>
      </c>
      <c r="E28" s="15">
        <v>10441377</v>
      </c>
      <c r="F28" s="16">
        <f>34381/7</f>
        <v>4911.571428571428</v>
      </c>
      <c r="G28" s="15">
        <v>304</v>
      </c>
    </row>
    <row r="29" spans="1:7" ht="12.75">
      <c r="A29" s="22">
        <f t="shared" si="1"/>
        <v>41111</v>
      </c>
      <c r="B29" s="15">
        <v>137136086.47</v>
      </c>
      <c r="C29" s="15">
        <v>1213745.47</v>
      </c>
      <c r="D29" s="15">
        <f t="shared" si="0"/>
        <v>125987536</v>
      </c>
      <c r="E29" s="15">
        <v>9934805</v>
      </c>
      <c r="F29" s="16">
        <f>34657/7</f>
        <v>4951</v>
      </c>
      <c r="G29" s="15">
        <v>287</v>
      </c>
    </row>
    <row r="30" spans="1:7" ht="12.75">
      <c r="A30" s="22">
        <f t="shared" si="1"/>
        <v>41118</v>
      </c>
      <c r="B30" s="15">
        <v>132979229.89</v>
      </c>
      <c r="C30" s="15">
        <v>1020827.89</v>
      </c>
      <c r="D30" s="15">
        <f t="shared" si="0"/>
        <v>122190459</v>
      </c>
      <c r="E30" s="15">
        <v>9767943</v>
      </c>
      <c r="F30" s="16">
        <f>34722/7</f>
        <v>4960.285714285715</v>
      </c>
      <c r="G30" s="15">
        <v>281</v>
      </c>
    </row>
    <row r="31" spans="1:7" ht="12.75">
      <c r="A31" s="22">
        <f t="shared" si="1"/>
        <v>41125</v>
      </c>
      <c r="B31" s="15">
        <v>148112464.46</v>
      </c>
      <c r="C31" s="15">
        <v>1245918.46</v>
      </c>
      <c r="D31" s="15">
        <f t="shared" si="0"/>
        <v>136229123</v>
      </c>
      <c r="E31" s="15">
        <v>10637423</v>
      </c>
      <c r="F31" s="16">
        <f aca="true" t="shared" si="2" ref="F31:F36">34748/7</f>
        <v>4964</v>
      </c>
      <c r="G31" s="15">
        <v>306</v>
      </c>
    </row>
    <row r="32" spans="1:7" ht="12.75">
      <c r="A32" s="22">
        <f t="shared" si="1"/>
        <v>41132</v>
      </c>
      <c r="B32" s="15">
        <v>141221073.45</v>
      </c>
      <c r="C32" s="15">
        <v>1154439.45</v>
      </c>
      <c r="D32" s="15">
        <f t="shared" si="0"/>
        <v>129952329</v>
      </c>
      <c r="E32" s="15">
        <v>10114305</v>
      </c>
      <c r="F32" s="16">
        <f t="shared" si="2"/>
        <v>4964</v>
      </c>
      <c r="G32" s="15">
        <v>291</v>
      </c>
    </row>
    <row r="33" spans="1:7" ht="12.75">
      <c r="A33" s="22">
        <f t="shared" si="1"/>
        <v>41139</v>
      </c>
      <c r="B33" s="15">
        <v>146199489.08</v>
      </c>
      <c r="C33" s="15">
        <v>1129227.08</v>
      </c>
      <c r="D33" s="15">
        <f t="shared" si="0"/>
        <v>134421355</v>
      </c>
      <c r="E33" s="15">
        <v>10648907</v>
      </c>
      <c r="F33" s="16">
        <f t="shared" si="2"/>
        <v>4964</v>
      </c>
      <c r="G33" s="15">
        <v>306</v>
      </c>
    </row>
    <row r="34" spans="1:7" ht="12.75">
      <c r="A34" s="22">
        <f t="shared" si="1"/>
        <v>41146</v>
      </c>
      <c r="B34" s="15">
        <v>139649319.23</v>
      </c>
      <c r="C34" s="15">
        <v>1080580.23</v>
      </c>
      <c r="D34" s="15">
        <f t="shared" si="0"/>
        <v>128344260</v>
      </c>
      <c r="E34" s="15">
        <v>10224479</v>
      </c>
      <c r="F34" s="16">
        <f t="shared" si="2"/>
        <v>4964</v>
      </c>
      <c r="G34" s="15">
        <v>294</v>
      </c>
    </row>
    <row r="35" spans="1:7" ht="12.75">
      <c r="A35" s="22">
        <f t="shared" si="1"/>
        <v>41153</v>
      </c>
      <c r="B35" s="15">
        <v>141277311.03</v>
      </c>
      <c r="C35" s="15">
        <v>880682.03</v>
      </c>
      <c r="D35" s="15">
        <f t="shared" si="0"/>
        <v>129616742</v>
      </c>
      <c r="E35" s="15">
        <v>10779887</v>
      </c>
      <c r="F35" s="16">
        <f t="shared" si="2"/>
        <v>4964</v>
      </c>
      <c r="G35" s="15">
        <v>310</v>
      </c>
    </row>
    <row r="36" spans="1:7" ht="12.75">
      <c r="A36" s="22">
        <f t="shared" si="1"/>
        <v>41160</v>
      </c>
      <c r="B36" s="15">
        <v>142642041.28</v>
      </c>
      <c r="C36" s="15">
        <v>853473.28</v>
      </c>
      <c r="D36" s="15">
        <f t="shared" si="0"/>
        <v>131194129</v>
      </c>
      <c r="E36" s="15">
        <v>10594439</v>
      </c>
      <c r="F36" s="16">
        <f t="shared" si="2"/>
        <v>4964</v>
      </c>
      <c r="G36" s="15">
        <v>305</v>
      </c>
    </row>
    <row r="37" spans="1:7" ht="12.75">
      <c r="A37" s="22">
        <f t="shared" si="1"/>
        <v>41167</v>
      </c>
      <c r="B37" s="15">
        <v>133994572.65</v>
      </c>
      <c r="C37" s="15">
        <v>712698.65</v>
      </c>
      <c r="D37" s="15">
        <f t="shared" si="0"/>
        <v>123343999</v>
      </c>
      <c r="E37" s="15">
        <v>9937875</v>
      </c>
      <c r="F37" s="16">
        <f aca="true" t="shared" si="3" ref="F37:F42">34748/7</f>
        <v>4964</v>
      </c>
      <c r="G37" s="15">
        <v>286</v>
      </c>
    </row>
    <row r="38" spans="1:7" ht="12.75">
      <c r="A38" s="22">
        <f t="shared" si="1"/>
        <v>41174</v>
      </c>
      <c r="B38" s="15">
        <v>130520078.42</v>
      </c>
      <c r="C38" s="15">
        <v>773376.42</v>
      </c>
      <c r="D38" s="15">
        <f t="shared" si="0"/>
        <v>120039050</v>
      </c>
      <c r="E38" s="15">
        <v>9707652</v>
      </c>
      <c r="F38" s="16">
        <f t="shared" si="3"/>
        <v>4964</v>
      </c>
      <c r="G38" s="15">
        <v>279</v>
      </c>
    </row>
    <row r="39" spans="1:7" ht="12.75">
      <c r="A39" s="22">
        <f t="shared" si="1"/>
        <v>41181</v>
      </c>
      <c r="B39" s="15">
        <v>136889765.49</v>
      </c>
      <c r="C39" s="15">
        <v>803765.49</v>
      </c>
      <c r="D39" s="15">
        <f t="shared" si="0"/>
        <v>126100334</v>
      </c>
      <c r="E39" s="15">
        <v>9985666</v>
      </c>
      <c r="F39" s="16">
        <f t="shared" si="3"/>
        <v>4964</v>
      </c>
      <c r="G39" s="15">
        <v>287</v>
      </c>
    </row>
    <row r="40" spans="1:7" ht="12.75">
      <c r="A40" s="22">
        <f t="shared" si="1"/>
        <v>41188</v>
      </c>
      <c r="B40" s="15">
        <v>145420581.43</v>
      </c>
      <c r="C40" s="15">
        <v>1228877.43</v>
      </c>
      <c r="D40" s="15">
        <f t="shared" si="0"/>
        <v>133625502</v>
      </c>
      <c r="E40" s="15">
        <v>10566202</v>
      </c>
      <c r="F40" s="16">
        <f t="shared" si="3"/>
        <v>4964</v>
      </c>
      <c r="G40" s="15">
        <v>304</v>
      </c>
    </row>
    <row r="41" spans="1:7" ht="12.75">
      <c r="A41" s="22">
        <f t="shared" si="1"/>
        <v>41195</v>
      </c>
      <c r="B41" s="15">
        <v>136438683.99</v>
      </c>
      <c r="C41" s="15">
        <v>909996.99</v>
      </c>
      <c r="D41" s="15">
        <f t="shared" si="0"/>
        <v>125378689</v>
      </c>
      <c r="E41" s="15">
        <v>10149998</v>
      </c>
      <c r="F41" s="16">
        <f t="shared" si="3"/>
        <v>4964</v>
      </c>
      <c r="G41" s="15">
        <v>292</v>
      </c>
    </row>
    <row r="42" spans="1:7" ht="12.75">
      <c r="A42" s="22">
        <f t="shared" si="1"/>
        <v>41202</v>
      </c>
      <c r="B42" s="15">
        <v>133887327.92</v>
      </c>
      <c r="C42" s="15">
        <v>1015555.92</v>
      </c>
      <c r="D42" s="15">
        <f t="shared" si="0"/>
        <v>123200320</v>
      </c>
      <c r="E42" s="15">
        <v>9671452</v>
      </c>
      <c r="F42" s="16">
        <f t="shared" si="3"/>
        <v>4964</v>
      </c>
      <c r="G42" s="15">
        <v>278</v>
      </c>
    </row>
    <row r="43" spans="1:7" ht="12.75">
      <c r="A43" s="22">
        <f t="shared" si="1"/>
        <v>41209</v>
      </c>
      <c r="B43" s="15">
        <v>133506405.22</v>
      </c>
      <c r="C43" s="15">
        <v>1116678.22</v>
      </c>
      <c r="D43" s="15">
        <f t="shared" si="0"/>
        <v>122925309</v>
      </c>
      <c r="E43" s="15">
        <v>9464418</v>
      </c>
      <c r="F43" s="16">
        <f aca="true" t="shared" si="4" ref="F43:F48">34748/7</f>
        <v>4964</v>
      </c>
      <c r="G43" s="15">
        <v>272</v>
      </c>
    </row>
    <row r="44" spans="1:7" ht="12.75">
      <c r="A44" s="22">
        <f t="shared" si="1"/>
        <v>41216</v>
      </c>
      <c r="B44" s="15">
        <v>79631685.26</v>
      </c>
      <c r="C44" s="15">
        <v>311531.26</v>
      </c>
      <c r="D44" s="15">
        <f t="shared" si="0"/>
        <v>73284830</v>
      </c>
      <c r="E44" s="15">
        <v>6035324</v>
      </c>
      <c r="F44" s="16">
        <f t="shared" si="4"/>
        <v>4964</v>
      </c>
      <c r="G44" s="15">
        <v>174</v>
      </c>
    </row>
    <row r="45" spans="1:7" ht="12.75">
      <c r="A45" s="22">
        <f t="shared" si="1"/>
        <v>41223</v>
      </c>
      <c r="B45" s="15">
        <v>113590125.78</v>
      </c>
      <c r="C45" s="15">
        <v>512313.78</v>
      </c>
      <c r="D45" s="15">
        <f t="shared" si="0"/>
        <v>104391444</v>
      </c>
      <c r="E45" s="15">
        <v>8686368</v>
      </c>
      <c r="F45" s="16">
        <f t="shared" si="4"/>
        <v>4964</v>
      </c>
      <c r="G45" s="15">
        <v>250</v>
      </c>
    </row>
    <row r="46" spans="1:7" ht="12.75">
      <c r="A46" s="22">
        <f t="shared" si="1"/>
        <v>41230</v>
      </c>
      <c r="B46" s="15">
        <v>132417119.69</v>
      </c>
      <c r="C46" s="15">
        <v>893979.69</v>
      </c>
      <c r="D46" s="15">
        <f t="shared" si="0"/>
        <v>121561447</v>
      </c>
      <c r="E46" s="15">
        <v>9961693</v>
      </c>
      <c r="F46" s="16">
        <f t="shared" si="4"/>
        <v>4964</v>
      </c>
      <c r="G46" s="15">
        <v>287</v>
      </c>
    </row>
    <row r="47" spans="1:7" ht="12.75">
      <c r="A47" s="22">
        <f t="shared" si="1"/>
        <v>41237</v>
      </c>
      <c r="B47" s="15">
        <v>134263730.89</v>
      </c>
      <c r="C47" s="15">
        <v>812396.89</v>
      </c>
      <c r="D47" s="15">
        <f t="shared" si="0"/>
        <v>123363050.99999999</v>
      </c>
      <c r="E47" s="15">
        <v>10088283</v>
      </c>
      <c r="F47" s="16">
        <f t="shared" si="4"/>
        <v>4964</v>
      </c>
      <c r="G47" s="15">
        <v>290</v>
      </c>
    </row>
    <row r="48" spans="1:7" ht="12.75">
      <c r="A48" s="22">
        <f t="shared" si="1"/>
        <v>41244</v>
      </c>
      <c r="B48" s="15">
        <v>123667130.95</v>
      </c>
      <c r="C48" s="15">
        <v>554825.95</v>
      </c>
      <c r="D48" s="15">
        <f t="shared" si="0"/>
        <v>113831200</v>
      </c>
      <c r="E48" s="15">
        <v>9281105</v>
      </c>
      <c r="F48" s="16">
        <f t="shared" si="4"/>
        <v>4964</v>
      </c>
      <c r="G48" s="15">
        <v>267</v>
      </c>
    </row>
    <row r="49" spans="1:7" ht="12.75">
      <c r="A49" s="22">
        <f t="shared" si="1"/>
        <v>41251</v>
      </c>
      <c r="B49" s="15">
        <v>134423795.6</v>
      </c>
      <c r="C49" s="15">
        <v>696512.6</v>
      </c>
      <c r="D49" s="15">
        <f t="shared" si="0"/>
        <v>123585139</v>
      </c>
      <c r="E49" s="15">
        <v>10142144</v>
      </c>
      <c r="F49" s="16">
        <f>34748/7</f>
        <v>4964</v>
      </c>
      <c r="G49" s="15">
        <v>292</v>
      </c>
    </row>
    <row r="50" spans="1:7" ht="12.75">
      <c r="A50" s="22">
        <f t="shared" si="1"/>
        <v>41258</v>
      </c>
      <c r="B50" s="15">
        <v>127692711.32</v>
      </c>
      <c r="C50" s="15">
        <v>649828.32</v>
      </c>
      <c r="D50" s="15">
        <f t="shared" si="0"/>
        <v>117283024</v>
      </c>
      <c r="E50" s="15">
        <v>9759859</v>
      </c>
      <c r="F50" s="16">
        <f>34748/7</f>
        <v>4964</v>
      </c>
      <c r="G50" s="15">
        <v>281</v>
      </c>
    </row>
    <row r="51" spans="1:7" ht="12.75">
      <c r="A51" s="22">
        <f t="shared" si="1"/>
        <v>41265</v>
      </c>
      <c r="B51" s="15">
        <v>127500239.83</v>
      </c>
      <c r="C51" s="15">
        <v>644282.83</v>
      </c>
      <c r="D51" s="15">
        <f t="shared" si="0"/>
        <v>117225353</v>
      </c>
      <c r="E51" s="15">
        <v>9630604</v>
      </c>
      <c r="F51" s="16">
        <f>34765/7</f>
        <v>4966.428571428572</v>
      </c>
      <c r="G51" s="15">
        <v>277</v>
      </c>
    </row>
    <row r="52" spans="1:7" ht="12.75">
      <c r="A52" s="22">
        <f t="shared" si="1"/>
        <v>41272</v>
      </c>
      <c r="B52" s="15">
        <v>127109958.6</v>
      </c>
      <c r="C52" s="15">
        <v>457541.6</v>
      </c>
      <c r="D52" s="15">
        <f t="shared" si="0"/>
        <v>116755986</v>
      </c>
      <c r="E52" s="15">
        <v>9896431</v>
      </c>
      <c r="F52" s="16">
        <f>34776/7</f>
        <v>4968</v>
      </c>
      <c r="G52" s="15">
        <v>285</v>
      </c>
    </row>
    <row r="53" spans="1:7" ht="12.75">
      <c r="A53" s="22">
        <f t="shared" si="1"/>
        <v>41279</v>
      </c>
      <c r="B53" s="15">
        <v>160730052.44</v>
      </c>
      <c r="C53" s="15">
        <v>583535.44</v>
      </c>
      <c r="D53" s="15">
        <f t="shared" si="0"/>
        <v>147557805</v>
      </c>
      <c r="E53" s="15">
        <v>12588712</v>
      </c>
      <c r="F53" s="16">
        <f>34776/7</f>
        <v>4968</v>
      </c>
      <c r="G53" s="15">
        <v>362</v>
      </c>
    </row>
    <row r="54" spans="1:7" ht="12.75">
      <c r="A54" s="22">
        <f t="shared" si="1"/>
        <v>41286</v>
      </c>
      <c r="B54" s="15">
        <v>137808358.7</v>
      </c>
      <c r="C54" s="15">
        <v>707809.7</v>
      </c>
      <c r="D54" s="15">
        <f t="shared" si="0"/>
        <v>126782170</v>
      </c>
      <c r="E54" s="15">
        <v>10318379</v>
      </c>
      <c r="F54" s="16">
        <f>34776/7</f>
        <v>4968</v>
      </c>
      <c r="G54" s="15">
        <v>297</v>
      </c>
    </row>
    <row r="55" spans="1:7" ht="12.75">
      <c r="A55" s="22">
        <f t="shared" si="1"/>
        <v>41293</v>
      </c>
      <c r="B55" s="15">
        <v>133900952.1</v>
      </c>
      <c r="C55" s="15">
        <v>675365.1</v>
      </c>
      <c r="D55" s="15">
        <f t="shared" si="0"/>
        <v>123625278</v>
      </c>
      <c r="E55" s="15">
        <v>9600309</v>
      </c>
      <c r="F55" s="16">
        <f>34776/7</f>
        <v>4968</v>
      </c>
      <c r="G55" s="15">
        <v>276</v>
      </c>
    </row>
    <row r="56" spans="1:7" ht="12.75">
      <c r="A56" s="22">
        <f t="shared" si="1"/>
        <v>41300</v>
      </c>
      <c r="B56" s="15">
        <v>126616349.04</v>
      </c>
      <c r="C56" s="15">
        <v>614796.04</v>
      </c>
      <c r="D56" s="15">
        <f t="shared" si="0"/>
        <v>116448022</v>
      </c>
      <c r="E56" s="15">
        <v>9553531</v>
      </c>
      <c r="F56" s="16">
        <f>34936/7</f>
        <v>4990.857142857143</v>
      </c>
      <c r="G56" s="15">
        <v>273</v>
      </c>
    </row>
    <row r="57" spans="1:7" ht="12.75">
      <c r="A57" s="22">
        <f t="shared" si="1"/>
        <v>41307</v>
      </c>
      <c r="B57" s="15">
        <v>154120219.09</v>
      </c>
      <c r="C57" s="15">
        <v>1468727.09</v>
      </c>
      <c r="D57" s="15">
        <f t="shared" si="0"/>
        <v>141611504</v>
      </c>
      <c r="E57" s="15">
        <v>11039988</v>
      </c>
      <c r="F57" s="16">
        <f>37276/7</f>
        <v>5325.142857142857</v>
      </c>
      <c r="G57" s="15">
        <v>296</v>
      </c>
    </row>
    <row r="58" spans="1:7" ht="12.75">
      <c r="A58" s="22">
        <f t="shared" si="1"/>
        <v>41314</v>
      </c>
      <c r="B58" s="15">
        <v>114604873.17</v>
      </c>
      <c r="C58" s="15">
        <v>735470.17</v>
      </c>
      <c r="D58" s="15">
        <f t="shared" si="0"/>
        <v>105520259</v>
      </c>
      <c r="E58" s="15">
        <v>8349144</v>
      </c>
      <c r="F58" s="16">
        <f>36820/7</f>
        <v>5260</v>
      </c>
      <c r="G58" s="15">
        <v>227</v>
      </c>
    </row>
    <row r="59" spans="1:7" ht="12.75">
      <c r="A59" s="22">
        <f t="shared" si="1"/>
        <v>41321</v>
      </c>
      <c r="B59" s="15">
        <v>158260723.25</v>
      </c>
      <c r="C59" s="15">
        <v>764444.25</v>
      </c>
      <c r="D59" s="15">
        <f t="shared" si="0"/>
        <v>145484930</v>
      </c>
      <c r="E59" s="15">
        <v>12011349</v>
      </c>
      <c r="F59" s="16">
        <f>36732/7</f>
        <v>5247.428571428572</v>
      </c>
      <c r="G59" s="15">
        <v>327</v>
      </c>
    </row>
    <row r="60" spans="1:7" ht="12.75">
      <c r="A60" s="22">
        <f t="shared" si="1"/>
        <v>41328</v>
      </c>
      <c r="B60" s="15">
        <v>161344045.66</v>
      </c>
      <c r="C60" s="15">
        <v>1047393.66</v>
      </c>
      <c r="D60" s="15">
        <f t="shared" si="0"/>
        <v>148270448</v>
      </c>
      <c r="E60" s="15">
        <v>12026204</v>
      </c>
      <c r="F60" s="16">
        <f>37342/7</f>
        <v>5334.571428571428</v>
      </c>
      <c r="G60" s="15">
        <v>322</v>
      </c>
    </row>
    <row r="61" spans="1:7" ht="12.75">
      <c r="A61" s="22">
        <f t="shared" si="1"/>
        <v>41335</v>
      </c>
      <c r="B61" s="15">
        <v>176142523.6</v>
      </c>
      <c r="C61" s="15">
        <v>1553944.6</v>
      </c>
      <c r="D61" s="15">
        <f t="shared" si="0"/>
        <v>161777057</v>
      </c>
      <c r="E61" s="15">
        <v>12811522</v>
      </c>
      <c r="F61" s="16">
        <f>37422/7</f>
        <v>5346</v>
      </c>
      <c r="G61" s="15">
        <v>342</v>
      </c>
    </row>
    <row r="62" spans="1:7" ht="12.75">
      <c r="A62" s="22">
        <f t="shared" si="1"/>
        <v>41342</v>
      </c>
      <c r="B62" s="15">
        <v>152847385.41</v>
      </c>
      <c r="C62" s="15">
        <v>911485.41</v>
      </c>
      <c r="D62" s="15">
        <f t="shared" si="0"/>
        <v>140569160</v>
      </c>
      <c r="E62" s="15">
        <v>11366740</v>
      </c>
      <c r="F62" s="16">
        <f>36956/7</f>
        <v>5279.428571428572</v>
      </c>
      <c r="G62" s="15">
        <v>308</v>
      </c>
    </row>
    <row r="63" spans="1:7" ht="12.75">
      <c r="A63" s="22">
        <f t="shared" si="1"/>
        <v>41349</v>
      </c>
      <c r="B63" s="15">
        <v>163756506.01</v>
      </c>
      <c r="C63" s="15">
        <v>1071461.01</v>
      </c>
      <c r="D63" s="15">
        <f t="shared" si="0"/>
        <v>150682839</v>
      </c>
      <c r="E63" s="15">
        <v>12002206</v>
      </c>
      <c r="F63" s="16">
        <f>37079/7</f>
        <v>5297</v>
      </c>
      <c r="G63" s="15">
        <v>324</v>
      </c>
    </row>
    <row r="64" spans="1:7" ht="12.75">
      <c r="A64" s="22">
        <f t="shared" si="1"/>
        <v>41356</v>
      </c>
      <c r="B64" s="15">
        <v>161957090.52</v>
      </c>
      <c r="C64" s="15">
        <v>1499953.52</v>
      </c>
      <c r="D64" s="15">
        <f t="shared" si="0"/>
        <v>149118295</v>
      </c>
      <c r="E64" s="15">
        <v>11338842</v>
      </c>
      <c r="F64" s="16">
        <f>37101/7</f>
        <v>5300.142857142857</v>
      </c>
      <c r="G64" s="15">
        <v>306</v>
      </c>
    </row>
    <row r="65" ht="12.75">
      <c r="A65" s="22"/>
    </row>
    <row r="66" spans="1:7" ht="13.5" thickBot="1">
      <c r="A66" s="3" t="s">
        <v>8</v>
      </c>
      <c r="B66" s="17">
        <f>SUM(B13:B64)</f>
        <v>7257141352.080001</v>
      </c>
      <c r="C66" s="17">
        <f>SUM(C13:C64)</f>
        <v>45126304.080000006</v>
      </c>
      <c r="D66" s="17">
        <f>SUM(D13:D64)</f>
        <v>6669038926</v>
      </c>
      <c r="E66" s="17">
        <f>SUM(E13:E64)</f>
        <v>542976122</v>
      </c>
      <c r="F66" s="24">
        <f>SUM(F13:F64)/COUNT(F13:F64)</f>
        <v>5001.623626373627</v>
      </c>
      <c r="G66" s="17">
        <f>+E66/SUM(F13:F64)/7</f>
        <v>298.2416819593198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16.00390625" style="3" customWidth="1"/>
    <col min="2" max="5" width="16.00390625" style="15" customWidth="1"/>
    <col min="6" max="6" width="16.00390625" style="16" customWidth="1"/>
    <col min="7" max="7" width="16.00390625" style="15" customWidth="1"/>
  </cols>
  <sheetData>
    <row r="1" spans="1:8" ht="18">
      <c r="A1" s="73" t="s">
        <v>15</v>
      </c>
      <c r="B1" s="73"/>
      <c r="C1" s="73"/>
      <c r="D1" s="73"/>
      <c r="E1" s="73"/>
      <c r="F1" s="73"/>
      <c r="G1" s="73"/>
      <c r="H1" s="26"/>
    </row>
    <row r="2" spans="1:8" ht="15">
      <c r="A2" s="74" t="s">
        <v>16</v>
      </c>
      <c r="B2" s="74"/>
      <c r="C2" s="74"/>
      <c r="D2" s="74"/>
      <c r="E2" s="74"/>
      <c r="F2" s="74"/>
      <c r="G2" s="74"/>
      <c r="H2" s="27"/>
    </row>
    <row r="3" spans="1:8" s="1" customFormat="1" ht="15">
      <c r="A3" s="74" t="s">
        <v>17</v>
      </c>
      <c r="B3" s="74"/>
      <c r="C3" s="74"/>
      <c r="D3" s="74"/>
      <c r="E3" s="74"/>
      <c r="F3" s="74"/>
      <c r="G3" s="74"/>
      <c r="H3" s="27"/>
    </row>
    <row r="4" spans="1:8" s="1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1" customFormat="1" ht="14.25">
      <c r="A5" s="75" t="s">
        <v>19</v>
      </c>
      <c r="B5" s="75"/>
      <c r="C5" s="75"/>
      <c r="D5" s="75"/>
      <c r="E5" s="75"/>
      <c r="F5" s="75"/>
      <c r="G5" s="75"/>
      <c r="H5" s="29"/>
    </row>
    <row r="6" spans="1:8" s="1" customFormat="1" ht="14.25">
      <c r="A6" s="2"/>
      <c r="B6" s="2"/>
      <c r="C6" s="2"/>
      <c r="D6" s="2"/>
      <c r="E6" s="2"/>
      <c r="F6" s="2"/>
      <c r="G6" s="2"/>
      <c r="H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70" t="s">
        <v>22</v>
      </c>
      <c r="B8" s="71"/>
      <c r="C8" s="71"/>
      <c r="D8" s="71"/>
      <c r="E8" s="71"/>
      <c r="F8" s="71"/>
      <c r="G8" s="72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21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40635</v>
      </c>
      <c r="B13" s="15">
        <v>158415997</v>
      </c>
      <c r="C13" s="15">
        <v>0</v>
      </c>
      <c r="D13" s="15">
        <f>+B13-C13-E13</f>
        <v>145141321</v>
      </c>
      <c r="E13" s="15">
        <v>13274676</v>
      </c>
      <c r="F13" s="16">
        <v>5310</v>
      </c>
      <c r="G13" s="15">
        <v>357</v>
      </c>
    </row>
    <row r="14" spans="1:7" ht="12.75">
      <c r="A14" s="22">
        <f aca="true" t="shared" si="0" ref="A14:A45">+A13+7</f>
        <v>40642</v>
      </c>
      <c r="B14" s="15">
        <v>165360918.53</v>
      </c>
      <c r="C14" s="15">
        <v>346811.53</v>
      </c>
      <c r="D14" s="15">
        <f aca="true" t="shared" si="1" ref="D14:D64">+B14-C14-E14</f>
        <v>151454619</v>
      </c>
      <c r="E14" s="15">
        <v>13559488</v>
      </c>
      <c r="F14" s="16">
        <v>5310</v>
      </c>
      <c r="G14" s="15">
        <v>365</v>
      </c>
    </row>
    <row r="15" spans="1:7" ht="12.75">
      <c r="A15" s="22">
        <f t="shared" si="0"/>
        <v>40649</v>
      </c>
      <c r="B15" s="15">
        <v>149886378.27</v>
      </c>
      <c r="C15" s="15">
        <v>334840.27</v>
      </c>
      <c r="D15" s="15">
        <f t="shared" si="1"/>
        <v>137528768</v>
      </c>
      <c r="E15" s="15">
        <v>12022770</v>
      </c>
      <c r="F15" s="16">
        <v>5310</v>
      </c>
      <c r="G15" s="15">
        <v>323</v>
      </c>
    </row>
    <row r="16" spans="1:7" ht="12.75">
      <c r="A16" s="22">
        <f t="shared" si="0"/>
        <v>40656</v>
      </c>
      <c r="B16" s="15">
        <v>159865753.72</v>
      </c>
      <c r="C16" s="15">
        <v>413723.72</v>
      </c>
      <c r="D16" s="15">
        <f t="shared" si="1"/>
        <v>146647977</v>
      </c>
      <c r="E16" s="15">
        <v>12804053</v>
      </c>
      <c r="F16" s="16">
        <v>5322</v>
      </c>
      <c r="G16" s="15">
        <v>344</v>
      </c>
    </row>
    <row r="17" spans="1:7" ht="12.75">
      <c r="A17" s="22">
        <f t="shared" si="0"/>
        <v>40663</v>
      </c>
      <c r="B17" s="15">
        <v>162248252.52</v>
      </c>
      <c r="C17" s="15">
        <v>343434.52</v>
      </c>
      <c r="D17" s="15">
        <f t="shared" si="1"/>
        <v>149016275</v>
      </c>
      <c r="E17" s="15">
        <v>12888543</v>
      </c>
      <c r="F17" s="16">
        <v>5335</v>
      </c>
      <c r="G17" s="15">
        <v>345</v>
      </c>
    </row>
    <row r="18" spans="1:7" ht="12.75">
      <c r="A18" s="22">
        <f t="shared" si="0"/>
        <v>40670</v>
      </c>
      <c r="B18" s="15">
        <v>160737861.15</v>
      </c>
      <c r="C18" s="15">
        <v>468737.15</v>
      </c>
      <c r="D18" s="15">
        <f t="shared" si="1"/>
        <v>147277090</v>
      </c>
      <c r="E18" s="15">
        <v>12992034</v>
      </c>
      <c r="F18" s="16">
        <v>5353</v>
      </c>
      <c r="G18" s="15">
        <v>347</v>
      </c>
    </row>
    <row r="19" spans="1:7" ht="12.75">
      <c r="A19" s="22">
        <f t="shared" si="0"/>
        <v>40677</v>
      </c>
      <c r="B19" s="15">
        <v>163008830.23</v>
      </c>
      <c r="C19" s="15">
        <v>364676.23</v>
      </c>
      <c r="D19" s="15">
        <f t="shared" si="1"/>
        <v>149497888</v>
      </c>
      <c r="E19" s="15">
        <v>13146266</v>
      </c>
      <c r="F19" s="16">
        <v>5354</v>
      </c>
      <c r="G19" s="15">
        <v>351</v>
      </c>
    </row>
    <row r="20" spans="1:7" ht="12.75">
      <c r="A20" s="22">
        <f t="shared" si="0"/>
        <v>40684</v>
      </c>
      <c r="B20" s="15">
        <v>153181700.85</v>
      </c>
      <c r="C20" s="15">
        <v>394578.85</v>
      </c>
      <c r="D20" s="15">
        <f t="shared" si="1"/>
        <v>140213131</v>
      </c>
      <c r="E20" s="15">
        <v>12573991</v>
      </c>
      <c r="F20" s="16">
        <v>5354</v>
      </c>
      <c r="G20" s="15">
        <v>336</v>
      </c>
    </row>
    <row r="21" spans="1:7" ht="12.75">
      <c r="A21" s="22">
        <f t="shared" si="0"/>
        <v>40691</v>
      </c>
      <c r="B21" s="15">
        <v>149471860.04</v>
      </c>
      <c r="C21" s="15">
        <v>348768.04</v>
      </c>
      <c r="D21" s="15">
        <f t="shared" si="1"/>
        <v>136986378</v>
      </c>
      <c r="E21" s="15">
        <v>12136714</v>
      </c>
      <c r="F21" s="16">
        <v>5354</v>
      </c>
      <c r="G21" s="15">
        <v>324</v>
      </c>
    </row>
    <row r="22" spans="1:7" ht="12.75">
      <c r="A22" s="22">
        <f t="shared" si="0"/>
        <v>40698</v>
      </c>
      <c r="B22" s="15">
        <v>171581974.73</v>
      </c>
      <c r="C22" s="15">
        <v>459656.73</v>
      </c>
      <c r="D22" s="15">
        <f t="shared" si="1"/>
        <v>157237567</v>
      </c>
      <c r="E22" s="15">
        <v>13884751</v>
      </c>
      <c r="F22" s="16">
        <v>5354</v>
      </c>
      <c r="G22" s="15">
        <v>370</v>
      </c>
    </row>
    <row r="23" spans="1:7" ht="12.75">
      <c r="A23" s="22">
        <f t="shared" si="0"/>
        <v>40705</v>
      </c>
      <c r="B23" s="15">
        <v>155410354.71</v>
      </c>
      <c r="C23" s="15">
        <v>427972.71</v>
      </c>
      <c r="D23" s="15">
        <f t="shared" si="1"/>
        <v>142760215</v>
      </c>
      <c r="E23" s="15">
        <v>12222167</v>
      </c>
      <c r="F23" s="16">
        <v>5354</v>
      </c>
      <c r="G23" s="15">
        <v>326</v>
      </c>
    </row>
    <row r="24" spans="1:7" ht="12.75">
      <c r="A24" s="22">
        <f t="shared" si="0"/>
        <v>40712</v>
      </c>
      <c r="B24" s="15">
        <v>154128331.94</v>
      </c>
      <c r="C24" s="15">
        <v>432264.94</v>
      </c>
      <c r="D24" s="15">
        <f t="shared" si="1"/>
        <v>141245196</v>
      </c>
      <c r="E24" s="15">
        <v>12450871</v>
      </c>
      <c r="F24" s="16">
        <v>5354</v>
      </c>
      <c r="G24" s="15">
        <v>332</v>
      </c>
    </row>
    <row r="25" spans="1:7" ht="12.75">
      <c r="A25" s="22">
        <f t="shared" si="0"/>
        <v>40719</v>
      </c>
      <c r="B25" s="15">
        <v>151865964.58</v>
      </c>
      <c r="C25" s="15">
        <v>406247.58</v>
      </c>
      <c r="D25" s="15">
        <f t="shared" si="1"/>
        <v>139448109</v>
      </c>
      <c r="E25" s="15">
        <v>12011608</v>
      </c>
      <c r="F25" s="16">
        <v>5354</v>
      </c>
      <c r="G25" s="15">
        <v>320</v>
      </c>
    </row>
    <row r="26" spans="1:7" ht="12.75">
      <c r="A26" s="22">
        <f t="shared" si="0"/>
        <v>40726</v>
      </c>
      <c r="B26" s="15">
        <v>158065604.27</v>
      </c>
      <c r="C26" s="15">
        <v>253522.27</v>
      </c>
      <c r="D26" s="15">
        <f t="shared" si="1"/>
        <v>144915316</v>
      </c>
      <c r="E26" s="15">
        <v>12896766</v>
      </c>
      <c r="F26" s="16">
        <v>5354</v>
      </c>
      <c r="G26" s="15">
        <v>344</v>
      </c>
    </row>
    <row r="27" spans="1:7" ht="12.75">
      <c r="A27" s="22">
        <f t="shared" si="0"/>
        <v>40733</v>
      </c>
      <c r="B27" s="15">
        <v>175189095.06</v>
      </c>
      <c r="C27" s="15">
        <v>544947.06</v>
      </c>
      <c r="D27" s="15">
        <f t="shared" si="1"/>
        <v>160503644</v>
      </c>
      <c r="E27" s="15">
        <v>14140504</v>
      </c>
      <c r="F27" s="16">
        <v>5354</v>
      </c>
      <c r="G27" s="15">
        <v>377</v>
      </c>
    </row>
    <row r="28" spans="1:7" ht="12.75">
      <c r="A28" s="22">
        <f t="shared" si="0"/>
        <v>40740</v>
      </c>
      <c r="B28" s="15">
        <v>152387085.61</v>
      </c>
      <c r="C28" s="15">
        <v>636122.61</v>
      </c>
      <c r="D28" s="15">
        <f t="shared" si="1"/>
        <v>140022741</v>
      </c>
      <c r="E28" s="15">
        <v>11728222</v>
      </c>
      <c r="F28" s="16">
        <v>5354</v>
      </c>
      <c r="G28" s="15">
        <v>313</v>
      </c>
    </row>
    <row r="29" spans="1:7" ht="12.75">
      <c r="A29" s="22">
        <f t="shared" si="0"/>
        <v>40747</v>
      </c>
      <c r="B29" s="15">
        <v>151381840.87</v>
      </c>
      <c r="C29" s="15">
        <v>454176.87</v>
      </c>
      <c r="D29" s="15">
        <f t="shared" si="1"/>
        <v>138789520</v>
      </c>
      <c r="E29" s="15">
        <v>12138144</v>
      </c>
      <c r="F29" s="16">
        <v>5354</v>
      </c>
      <c r="G29" s="15">
        <v>324</v>
      </c>
    </row>
    <row r="30" spans="1:7" ht="12.75">
      <c r="A30" s="22">
        <f t="shared" si="0"/>
        <v>40754</v>
      </c>
      <c r="B30" s="15">
        <v>156445309.03</v>
      </c>
      <c r="C30" s="15">
        <v>459117.03</v>
      </c>
      <c r="D30" s="15">
        <f t="shared" si="1"/>
        <v>143584527</v>
      </c>
      <c r="E30" s="15">
        <v>12401665</v>
      </c>
      <c r="F30" s="16">
        <v>5354</v>
      </c>
      <c r="G30" s="15">
        <v>331</v>
      </c>
    </row>
    <row r="31" spans="1:7" ht="12.75">
      <c r="A31" s="22">
        <f t="shared" si="0"/>
        <v>40761</v>
      </c>
      <c r="B31" s="15">
        <v>161909873.92</v>
      </c>
      <c r="C31" s="15">
        <v>531826.92</v>
      </c>
      <c r="D31" s="15">
        <f t="shared" si="1"/>
        <v>148504028</v>
      </c>
      <c r="E31" s="15">
        <v>12874019</v>
      </c>
      <c r="F31" s="16">
        <v>5372</v>
      </c>
      <c r="G31" s="15">
        <v>342</v>
      </c>
    </row>
    <row r="32" spans="1:7" ht="12.75">
      <c r="A32" s="22">
        <f t="shared" si="0"/>
        <v>40768</v>
      </c>
      <c r="B32" s="15">
        <v>156589665.68</v>
      </c>
      <c r="C32" s="15">
        <v>439360.68</v>
      </c>
      <c r="D32" s="15">
        <f t="shared" si="1"/>
        <v>143502395</v>
      </c>
      <c r="E32" s="15">
        <v>12647910</v>
      </c>
      <c r="F32" s="16">
        <v>5378</v>
      </c>
      <c r="G32" s="15">
        <v>336</v>
      </c>
    </row>
    <row r="33" spans="1:7" ht="12.75">
      <c r="A33" s="22">
        <f t="shared" si="0"/>
        <v>40775</v>
      </c>
      <c r="B33" s="15">
        <v>152199643.4</v>
      </c>
      <c r="C33" s="15">
        <v>447323.4</v>
      </c>
      <c r="D33" s="15">
        <f t="shared" si="1"/>
        <v>139487290</v>
      </c>
      <c r="E33" s="15">
        <v>12265030</v>
      </c>
      <c r="F33" s="16">
        <v>5378</v>
      </c>
      <c r="G33" s="15">
        <v>326</v>
      </c>
    </row>
    <row r="34" spans="1:7" ht="12.75">
      <c r="A34" s="22">
        <f t="shared" si="0"/>
        <v>40782</v>
      </c>
      <c r="B34" s="15">
        <v>124879345.45</v>
      </c>
      <c r="C34" s="15">
        <v>433541.45</v>
      </c>
      <c r="D34" s="15">
        <f t="shared" si="1"/>
        <v>114409212</v>
      </c>
      <c r="E34" s="15">
        <v>10036592</v>
      </c>
      <c r="F34" s="16">
        <v>5378</v>
      </c>
      <c r="G34" s="15">
        <v>267</v>
      </c>
    </row>
    <row r="35" spans="1:7" ht="12.75">
      <c r="A35" s="22">
        <f t="shared" si="0"/>
        <v>40789</v>
      </c>
      <c r="B35" s="15">
        <v>152150745.79</v>
      </c>
      <c r="C35" s="15">
        <v>496312.79</v>
      </c>
      <c r="D35" s="15">
        <f t="shared" si="1"/>
        <v>139426590</v>
      </c>
      <c r="E35" s="15">
        <v>12227843</v>
      </c>
      <c r="F35" s="16">
        <v>5378</v>
      </c>
      <c r="G35" s="15">
        <v>325</v>
      </c>
    </row>
    <row r="36" spans="1:7" ht="12.75">
      <c r="A36" s="22">
        <f t="shared" si="0"/>
        <v>40796</v>
      </c>
      <c r="B36" s="15">
        <v>168602014.31</v>
      </c>
      <c r="C36" s="15">
        <v>469531.31</v>
      </c>
      <c r="D36" s="15">
        <f t="shared" si="1"/>
        <v>154561476</v>
      </c>
      <c r="E36" s="15">
        <v>13571007</v>
      </c>
      <c r="F36" s="16">
        <v>5378</v>
      </c>
      <c r="G36" s="15">
        <v>360</v>
      </c>
    </row>
    <row r="37" spans="1:7" ht="12.75">
      <c r="A37" s="22">
        <f t="shared" si="0"/>
        <v>40803</v>
      </c>
      <c r="B37" s="15">
        <v>150685791.19</v>
      </c>
      <c r="C37" s="15">
        <v>398168.19</v>
      </c>
      <c r="D37" s="15">
        <f t="shared" si="1"/>
        <v>138579280</v>
      </c>
      <c r="E37" s="15">
        <v>11708343</v>
      </c>
      <c r="F37" s="16">
        <v>5378</v>
      </c>
      <c r="G37" s="15">
        <v>311</v>
      </c>
    </row>
    <row r="38" spans="1:7" ht="12.75">
      <c r="A38" s="22">
        <f t="shared" si="0"/>
        <v>40810</v>
      </c>
      <c r="B38" s="15">
        <v>151452301.48</v>
      </c>
      <c r="C38" s="15">
        <v>545042.48</v>
      </c>
      <c r="D38" s="15">
        <f t="shared" si="1"/>
        <v>139039101</v>
      </c>
      <c r="E38" s="15">
        <v>11868158</v>
      </c>
      <c r="F38" s="16">
        <v>5378</v>
      </c>
      <c r="G38" s="15">
        <v>315</v>
      </c>
    </row>
    <row r="39" spans="1:7" ht="12.75">
      <c r="A39" s="22">
        <f t="shared" si="0"/>
        <v>40817</v>
      </c>
      <c r="B39" s="15">
        <v>162505331.93</v>
      </c>
      <c r="C39" s="15">
        <v>518600.93</v>
      </c>
      <c r="D39" s="15">
        <f t="shared" si="1"/>
        <v>149076567</v>
      </c>
      <c r="E39" s="15">
        <v>12910164</v>
      </c>
      <c r="F39" s="16">
        <v>5378</v>
      </c>
      <c r="G39" s="15">
        <v>343</v>
      </c>
    </row>
    <row r="40" spans="1:7" ht="12.75">
      <c r="A40" s="22">
        <f t="shared" si="0"/>
        <v>40824</v>
      </c>
      <c r="B40" s="15">
        <v>152824879.59</v>
      </c>
      <c r="C40" s="15">
        <v>649857.59</v>
      </c>
      <c r="D40" s="15">
        <f t="shared" si="1"/>
        <v>140062663</v>
      </c>
      <c r="E40" s="15">
        <v>12112359</v>
      </c>
      <c r="F40" s="16">
        <v>5383</v>
      </c>
      <c r="G40" s="15">
        <v>321</v>
      </c>
    </row>
    <row r="41" spans="1:7" ht="12.75">
      <c r="A41" s="22">
        <f t="shared" si="0"/>
        <v>40831</v>
      </c>
      <c r="B41" s="15">
        <v>161850989.48</v>
      </c>
      <c r="C41" s="15">
        <v>474868.48</v>
      </c>
      <c r="D41" s="15">
        <f t="shared" si="1"/>
        <v>148577490</v>
      </c>
      <c r="E41" s="15">
        <v>12798631</v>
      </c>
      <c r="F41" s="16">
        <v>5390</v>
      </c>
      <c r="G41" s="15">
        <v>339</v>
      </c>
    </row>
    <row r="42" spans="1:7" ht="12.75">
      <c r="A42" s="22">
        <f t="shared" si="0"/>
        <v>40838</v>
      </c>
      <c r="B42" s="15">
        <v>151116862.24</v>
      </c>
      <c r="C42" s="15">
        <v>625383.24</v>
      </c>
      <c r="D42" s="15">
        <f t="shared" si="1"/>
        <v>138778893</v>
      </c>
      <c r="E42" s="15">
        <v>11712586</v>
      </c>
      <c r="F42" s="16">
        <v>5390</v>
      </c>
      <c r="G42" s="15">
        <v>310</v>
      </c>
    </row>
    <row r="43" spans="1:7" ht="12.75">
      <c r="A43" s="22">
        <f t="shared" si="0"/>
        <v>40845</v>
      </c>
      <c r="B43" s="15">
        <v>126329020.43</v>
      </c>
      <c r="C43" s="15">
        <f>391808.43-17706</f>
        <v>374102.43</v>
      </c>
      <c r="D43" s="15">
        <f t="shared" si="1"/>
        <v>115870388</v>
      </c>
      <c r="E43" s="15">
        <v>10084530</v>
      </c>
      <c r="F43" s="16">
        <v>5390</v>
      </c>
      <c r="G43" s="15">
        <v>267</v>
      </c>
    </row>
    <row r="44" spans="1:7" ht="12.75">
      <c r="A44" s="22">
        <f t="shared" si="0"/>
        <v>40852</v>
      </c>
      <c r="B44" s="15">
        <v>141141186.46</v>
      </c>
      <c r="C44" s="15">
        <v>763934.46</v>
      </c>
      <c r="D44" s="15">
        <f t="shared" si="1"/>
        <v>129579119</v>
      </c>
      <c r="E44" s="15">
        <v>10798133</v>
      </c>
      <c r="F44" s="16">
        <v>5390</v>
      </c>
      <c r="G44" s="15">
        <v>286</v>
      </c>
    </row>
    <row r="45" spans="1:7" ht="12.75">
      <c r="A45" s="22">
        <f t="shared" si="0"/>
        <v>40859</v>
      </c>
      <c r="B45" s="15">
        <v>133515786.7</v>
      </c>
      <c r="C45" s="15">
        <v>800960.7</v>
      </c>
      <c r="D45" s="15">
        <f t="shared" si="1"/>
        <v>122498814</v>
      </c>
      <c r="E45" s="15">
        <v>10216012</v>
      </c>
      <c r="F45" s="16">
        <v>5381</v>
      </c>
      <c r="G45" s="15">
        <v>271</v>
      </c>
    </row>
    <row r="46" spans="1:7" ht="12.75">
      <c r="A46" s="22">
        <f aca="true" t="shared" si="2" ref="A46:A64">+A45+7</f>
        <v>40866</v>
      </c>
      <c r="B46" s="15">
        <v>123497761.74</v>
      </c>
      <c r="C46" s="15">
        <v>696086.74</v>
      </c>
      <c r="D46" s="15">
        <f t="shared" si="1"/>
        <v>113067708</v>
      </c>
      <c r="E46" s="15">
        <v>9733967</v>
      </c>
      <c r="F46" s="16">
        <v>5370</v>
      </c>
      <c r="G46" s="15">
        <v>259</v>
      </c>
    </row>
    <row r="47" spans="1:7" ht="12.75">
      <c r="A47" s="22">
        <f t="shared" si="2"/>
        <v>40873</v>
      </c>
      <c r="B47" s="15">
        <v>127832509.38</v>
      </c>
      <c r="C47" s="15">
        <v>520753.38</v>
      </c>
      <c r="D47" s="15">
        <f t="shared" si="1"/>
        <v>117483906</v>
      </c>
      <c r="E47" s="15">
        <v>9827850</v>
      </c>
      <c r="F47" s="16">
        <v>5370</v>
      </c>
      <c r="G47" s="15">
        <v>261</v>
      </c>
    </row>
    <row r="48" spans="1:7" ht="12.75">
      <c r="A48" s="22">
        <f t="shared" si="2"/>
        <v>40880</v>
      </c>
      <c r="B48" s="15">
        <v>129637312.73</v>
      </c>
      <c r="C48" s="15">
        <v>495721.73</v>
      </c>
      <c r="D48" s="15">
        <f t="shared" si="1"/>
        <v>119117957</v>
      </c>
      <c r="E48" s="15">
        <v>10023634</v>
      </c>
      <c r="F48" s="16">
        <f>37630/7</f>
        <v>5375.714285714285</v>
      </c>
      <c r="G48" s="15">
        <v>266</v>
      </c>
    </row>
    <row r="49" spans="1:7" ht="12.75">
      <c r="A49" s="22">
        <f t="shared" si="2"/>
        <v>40887</v>
      </c>
      <c r="B49" s="15">
        <v>120781674.72</v>
      </c>
      <c r="C49" s="15">
        <v>457436.72</v>
      </c>
      <c r="D49" s="15">
        <f t="shared" si="1"/>
        <v>110874846</v>
      </c>
      <c r="E49" s="15">
        <v>9449392</v>
      </c>
      <c r="F49" s="16">
        <f>37660/7</f>
        <v>5380</v>
      </c>
      <c r="G49" s="15">
        <v>251</v>
      </c>
    </row>
    <row r="50" spans="1:7" ht="12.75">
      <c r="A50" s="22">
        <f t="shared" si="2"/>
        <v>40894</v>
      </c>
      <c r="B50" s="15">
        <v>117218137.46</v>
      </c>
      <c r="C50" s="15">
        <v>350914.46</v>
      </c>
      <c r="D50" s="15">
        <f t="shared" si="1"/>
        <v>107836015</v>
      </c>
      <c r="E50" s="15">
        <v>9031208</v>
      </c>
      <c r="F50" s="16">
        <f>37660/7</f>
        <v>5380</v>
      </c>
      <c r="G50" s="15">
        <v>240</v>
      </c>
    </row>
    <row r="51" spans="1:7" ht="12.75">
      <c r="A51" s="22">
        <f t="shared" si="2"/>
        <v>40901</v>
      </c>
      <c r="B51" s="15">
        <v>109156207.5</v>
      </c>
      <c r="C51" s="15">
        <v>456872.5</v>
      </c>
      <c r="D51" s="15">
        <f t="shared" si="1"/>
        <v>100451502</v>
      </c>
      <c r="E51" s="15">
        <v>8247833</v>
      </c>
      <c r="F51" s="16">
        <f>37660/7</f>
        <v>5380</v>
      </c>
      <c r="G51" s="15">
        <v>219</v>
      </c>
    </row>
    <row r="52" spans="1:7" ht="12.75">
      <c r="A52" s="22">
        <f t="shared" si="2"/>
        <v>40908</v>
      </c>
      <c r="B52" s="15">
        <v>147316360.04</v>
      </c>
      <c r="C52" s="15">
        <v>473805.04</v>
      </c>
      <c r="D52" s="15">
        <f t="shared" si="1"/>
        <v>135133435</v>
      </c>
      <c r="E52" s="15">
        <v>11709120</v>
      </c>
      <c r="F52" s="16">
        <f>37660/7</f>
        <v>5380</v>
      </c>
      <c r="G52" s="15">
        <v>311</v>
      </c>
    </row>
    <row r="53" spans="1:7" ht="12.75">
      <c r="A53" s="22">
        <f t="shared" si="2"/>
        <v>40915</v>
      </c>
      <c r="B53" s="15">
        <v>150235351.78</v>
      </c>
      <c r="C53" s="15">
        <v>804563.78</v>
      </c>
      <c r="D53" s="15">
        <f t="shared" si="1"/>
        <v>137926850</v>
      </c>
      <c r="E53" s="15">
        <v>11503938</v>
      </c>
      <c r="F53" s="16">
        <f>37660/7</f>
        <v>5380</v>
      </c>
      <c r="G53" s="15">
        <v>305</v>
      </c>
    </row>
    <row r="54" spans="1:7" ht="12.75">
      <c r="A54" s="22">
        <f t="shared" si="2"/>
        <v>40922</v>
      </c>
      <c r="B54" s="15">
        <v>122446583.51</v>
      </c>
      <c r="C54" s="15">
        <v>578415.51</v>
      </c>
      <c r="D54" s="15">
        <f t="shared" si="1"/>
        <v>112491863</v>
      </c>
      <c r="E54" s="15">
        <v>9376305</v>
      </c>
      <c r="F54" s="16">
        <f>36414/7</f>
        <v>5202</v>
      </c>
      <c r="G54" s="15">
        <v>257</v>
      </c>
    </row>
    <row r="55" spans="1:7" ht="12.75">
      <c r="A55" s="22">
        <f t="shared" si="2"/>
        <v>40929</v>
      </c>
      <c r="B55" s="15">
        <v>111834876.3</v>
      </c>
      <c r="C55" s="15">
        <v>428534.3</v>
      </c>
      <c r="D55" s="15">
        <f t="shared" si="1"/>
        <v>102784661</v>
      </c>
      <c r="E55" s="15">
        <v>8621681</v>
      </c>
      <c r="F55" s="16">
        <f>35164/7</f>
        <v>5023.428571428572</v>
      </c>
      <c r="G55" s="15">
        <v>245</v>
      </c>
    </row>
    <row r="56" spans="1:7" ht="12.75">
      <c r="A56" s="22">
        <f t="shared" si="2"/>
        <v>40936</v>
      </c>
      <c r="B56" s="15">
        <v>126821426.37</v>
      </c>
      <c r="C56" s="15">
        <v>669832.37</v>
      </c>
      <c r="D56" s="15">
        <f t="shared" si="1"/>
        <v>116239163</v>
      </c>
      <c r="E56" s="15">
        <v>9912431</v>
      </c>
      <c r="F56" s="16">
        <f>35196/7</f>
        <v>5028</v>
      </c>
      <c r="G56" s="15">
        <v>282</v>
      </c>
    </row>
    <row r="57" spans="1:7" ht="12.75">
      <c r="A57" s="22">
        <f t="shared" si="2"/>
        <v>40943</v>
      </c>
      <c r="B57" s="15">
        <v>141124169.96</v>
      </c>
      <c r="C57" s="15">
        <v>744087.96</v>
      </c>
      <c r="D57" s="15">
        <f t="shared" si="1"/>
        <v>129446654</v>
      </c>
      <c r="E57" s="15">
        <v>10933428</v>
      </c>
      <c r="F57" s="16">
        <f>35187/7</f>
        <v>5026.714285714285</v>
      </c>
      <c r="G57" s="15">
        <v>311</v>
      </c>
    </row>
    <row r="58" spans="1:7" ht="12.75">
      <c r="A58" s="22">
        <f t="shared" si="2"/>
        <v>40950</v>
      </c>
      <c r="B58" s="15">
        <v>138483323.81</v>
      </c>
      <c r="C58" s="15">
        <v>675374.81</v>
      </c>
      <c r="D58" s="15">
        <f t="shared" si="1"/>
        <v>126973131</v>
      </c>
      <c r="E58" s="15">
        <v>10834818</v>
      </c>
      <c r="F58" s="16">
        <f>35973/7</f>
        <v>5139</v>
      </c>
      <c r="G58" s="15">
        <v>301</v>
      </c>
    </row>
    <row r="59" spans="1:7" ht="12.75">
      <c r="A59" s="22">
        <f t="shared" si="2"/>
        <v>40957</v>
      </c>
      <c r="B59" s="15">
        <v>147462515.58</v>
      </c>
      <c r="C59" s="15">
        <v>656345.58</v>
      </c>
      <c r="D59" s="15">
        <f t="shared" si="1"/>
        <v>135317231</v>
      </c>
      <c r="E59" s="15">
        <v>11488939</v>
      </c>
      <c r="F59" s="16">
        <f>36398/7</f>
        <v>5199.714285714285</v>
      </c>
      <c r="G59" s="15">
        <v>316</v>
      </c>
    </row>
    <row r="60" spans="1:7" ht="12.75">
      <c r="A60" s="22">
        <f t="shared" si="2"/>
        <v>40964</v>
      </c>
      <c r="B60" s="15">
        <v>151830525.32</v>
      </c>
      <c r="C60" s="15">
        <v>575313.32</v>
      </c>
      <c r="D60" s="15">
        <f t="shared" si="1"/>
        <v>139360667</v>
      </c>
      <c r="E60" s="15">
        <v>11894545</v>
      </c>
      <c r="F60" s="16">
        <f>36476/7</f>
        <v>5210.857142857143</v>
      </c>
      <c r="G60" s="15">
        <v>326</v>
      </c>
    </row>
    <row r="61" spans="1:7" ht="12.75">
      <c r="A61" s="22">
        <f t="shared" si="2"/>
        <v>40971</v>
      </c>
      <c r="B61" s="15">
        <v>151957870.6</v>
      </c>
      <c r="C61" s="15">
        <v>665848.6</v>
      </c>
      <c r="D61" s="15">
        <f t="shared" si="1"/>
        <v>139446473</v>
      </c>
      <c r="E61" s="15">
        <v>11845549</v>
      </c>
      <c r="F61" s="16">
        <f>35638/7</f>
        <v>5091.142857142857</v>
      </c>
      <c r="G61" s="15">
        <v>332</v>
      </c>
    </row>
    <row r="62" spans="1:7" ht="12.75">
      <c r="A62" s="22">
        <f t="shared" si="2"/>
        <v>40978</v>
      </c>
      <c r="B62" s="15">
        <v>147227370</v>
      </c>
      <c r="C62" s="15">
        <v>620656</v>
      </c>
      <c r="D62" s="15">
        <f t="shared" si="1"/>
        <v>135314119</v>
      </c>
      <c r="E62" s="15">
        <v>11292595</v>
      </c>
      <c r="F62" s="16">
        <f>35552/7</f>
        <v>5078.857142857143</v>
      </c>
      <c r="G62" s="15">
        <v>318</v>
      </c>
    </row>
    <row r="63" spans="1:7" ht="12.75">
      <c r="A63" s="22">
        <f t="shared" si="2"/>
        <v>40985</v>
      </c>
      <c r="B63" s="15">
        <v>153165861.87</v>
      </c>
      <c r="C63" s="15">
        <v>728411.87</v>
      </c>
      <c r="D63" s="15">
        <f t="shared" si="1"/>
        <v>140226455</v>
      </c>
      <c r="E63" s="15">
        <v>12210995</v>
      </c>
      <c r="F63" s="16">
        <f>35032/7</f>
        <v>5004.571428571428</v>
      </c>
      <c r="G63" s="15">
        <v>349</v>
      </c>
    </row>
    <row r="64" spans="1:7" ht="12.75">
      <c r="A64" s="22">
        <f t="shared" si="2"/>
        <v>40992</v>
      </c>
      <c r="B64" s="15">
        <v>144497743.65</v>
      </c>
      <c r="C64" s="15">
        <v>700359.65</v>
      </c>
      <c r="D64" s="15">
        <f t="shared" si="1"/>
        <v>132769125</v>
      </c>
      <c r="E64" s="15">
        <v>11028259</v>
      </c>
      <c r="F64" s="16">
        <f>35854/7</f>
        <v>5122</v>
      </c>
      <c r="G64" s="15">
        <v>308</v>
      </c>
    </row>
    <row r="65" ht="12.75">
      <c r="A65" s="22"/>
    </row>
    <row r="66" spans="1:7" ht="13.5" thickBot="1">
      <c r="A66" s="3" t="s">
        <v>8</v>
      </c>
      <c r="B66" s="17">
        <f>SUM(B13:B64)</f>
        <v>7658914133.479999</v>
      </c>
      <c r="C66" s="17">
        <f>SUM(C13:C64)</f>
        <v>26357747.48</v>
      </c>
      <c r="D66" s="17">
        <f>SUM(D13:D64)</f>
        <v>7026485349</v>
      </c>
      <c r="E66" s="17">
        <f>SUM(E13:E64)</f>
        <v>606071037</v>
      </c>
      <c r="F66" s="24">
        <f>SUM(F13:F64)/COUNT(F13:F64)</f>
        <v>5308.653846153846</v>
      </c>
      <c r="G66" s="17">
        <f>+E66/SUM(F13:F64)/7</f>
        <v>313.644545242839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5:G5"/>
    <mergeCell ref="A8:G8"/>
    <mergeCell ref="A1:G1"/>
    <mergeCell ref="A2:G2"/>
    <mergeCell ref="A3:G3"/>
    <mergeCell ref="A4:G4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16.00390625" style="3" customWidth="1"/>
    <col min="2" max="5" width="16.00390625" style="15" customWidth="1"/>
    <col min="6" max="6" width="16.00390625" style="16" customWidth="1"/>
    <col min="7" max="7" width="16.00390625" style="15" customWidth="1"/>
  </cols>
  <sheetData>
    <row r="1" spans="1:8" ht="18">
      <c r="A1" s="73" t="s">
        <v>15</v>
      </c>
      <c r="B1" s="73"/>
      <c r="C1" s="73"/>
      <c r="D1" s="73"/>
      <c r="E1" s="73"/>
      <c r="F1" s="73"/>
      <c r="G1" s="73"/>
      <c r="H1" s="26"/>
    </row>
    <row r="2" spans="1:8" ht="15">
      <c r="A2" s="74" t="s">
        <v>16</v>
      </c>
      <c r="B2" s="74"/>
      <c r="C2" s="74"/>
      <c r="D2" s="74"/>
      <c r="E2" s="74"/>
      <c r="F2" s="74"/>
      <c r="G2" s="74"/>
      <c r="H2" s="27"/>
    </row>
    <row r="3" spans="1:8" s="1" customFormat="1" ht="15">
      <c r="A3" s="74" t="s">
        <v>17</v>
      </c>
      <c r="B3" s="74"/>
      <c r="C3" s="74"/>
      <c r="D3" s="74"/>
      <c r="E3" s="74"/>
      <c r="F3" s="74"/>
      <c r="G3" s="74"/>
      <c r="H3" s="27"/>
    </row>
    <row r="4" spans="1:8" s="1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1" customFormat="1" ht="14.25">
      <c r="A5" s="75" t="s">
        <v>19</v>
      </c>
      <c r="B5" s="75"/>
      <c r="C5" s="75"/>
      <c r="D5" s="75"/>
      <c r="E5" s="75"/>
      <c r="F5" s="75"/>
      <c r="G5" s="75"/>
      <c r="H5" s="29"/>
    </row>
    <row r="6" spans="1:8" s="1" customFormat="1" ht="14.25">
      <c r="A6" s="2"/>
      <c r="B6" s="2"/>
      <c r="C6" s="2"/>
      <c r="D6" s="2"/>
      <c r="E6" s="2"/>
      <c r="F6" s="2"/>
      <c r="G6" s="2"/>
      <c r="H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70" t="s">
        <v>20</v>
      </c>
      <c r="B8" s="71"/>
      <c r="C8" s="71"/>
      <c r="D8" s="71"/>
      <c r="E8" s="71"/>
      <c r="F8" s="71"/>
      <c r="G8" s="72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21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40271</v>
      </c>
      <c r="B13" s="15">
        <v>142550746</v>
      </c>
      <c r="D13" s="15">
        <f aca="true" t="shared" si="0" ref="D13:D43">+B13-E13</f>
        <v>130778138</v>
      </c>
      <c r="E13" s="15">
        <v>11772608</v>
      </c>
      <c r="F13" s="16">
        <v>5310</v>
      </c>
      <c r="G13" s="15">
        <v>317</v>
      </c>
    </row>
    <row r="14" spans="1:7" ht="12.75">
      <c r="A14" s="22">
        <f>+A13+7</f>
        <v>40278</v>
      </c>
      <c r="B14" s="15">
        <v>143208955</v>
      </c>
      <c r="D14" s="15">
        <f t="shared" si="0"/>
        <v>131081593</v>
      </c>
      <c r="E14" s="15">
        <v>12127362</v>
      </c>
      <c r="F14" s="16">
        <v>5310</v>
      </c>
      <c r="G14" s="15">
        <v>326</v>
      </c>
    </row>
    <row r="15" spans="1:7" ht="12.75">
      <c r="A15" s="22">
        <f aca="true" t="shared" si="1" ref="A15:A64">+A14+7</f>
        <v>40285</v>
      </c>
      <c r="B15" s="15">
        <v>139437877</v>
      </c>
      <c r="D15" s="15">
        <f t="shared" si="0"/>
        <v>127627256</v>
      </c>
      <c r="E15" s="15">
        <v>11810621</v>
      </c>
      <c r="F15" s="16">
        <v>5310</v>
      </c>
      <c r="G15" s="15">
        <v>318</v>
      </c>
    </row>
    <row r="16" spans="1:7" ht="12.75">
      <c r="A16" s="22">
        <f t="shared" si="1"/>
        <v>40292</v>
      </c>
      <c r="B16" s="15">
        <v>139551299</v>
      </c>
      <c r="D16" s="15">
        <f t="shared" si="0"/>
        <v>127929698</v>
      </c>
      <c r="E16" s="15">
        <v>11621601</v>
      </c>
      <c r="F16" s="16">
        <v>5310</v>
      </c>
      <c r="G16" s="15">
        <v>313</v>
      </c>
    </row>
    <row r="17" spans="1:7" ht="12.75">
      <c r="A17" s="22">
        <f t="shared" si="1"/>
        <v>40299</v>
      </c>
      <c r="B17" s="15">
        <v>139221711</v>
      </c>
      <c r="D17" s="15">
        <f t="shared" si="0"/>
        <v>127548051</v>
      </c>
      <c r="E17" s="15">
        <v>11673660</v>
      </c>
      <c r="F17" s="16">
        <v>5310</v>
      </c>
      <c r="G17" s="15">
        <v>314</v>
      </c>
    </row>
    <row r="18" spans="1:7" ht="12.75">
      <c r="A18" s="22">
        <f t="shared" si="1"/>
        <v>40306</v>
      </c>
      <c r="B18" s="15">
        <v>134622991</v>
      </c>
      <c r="D18" s="15">
        <f t="shared" si="0"/>
        <v>123341078</v>
      </c>
      <c r="E18" s="15">
        <v>11281913</v>
      </c>
      <c r="F18" s="16">
        <v>5310</v>
      </c>
      <c r="G18" s="15">
        <v>304</v>
      </c>
    </row>
    <row r="19" spans="1:7" ht="12.75">
      <c r="A19" s="22">
        <f t="shared" si="1"/>
        <v>40313</v>
      </c>
      <c r="B19" s="15">
        <v>144380618</v>
      </c>
      <c r="D19" s="15">
        <f t="shared" si="0"/>
        <v>132064777</v>
      </c>
      <c r="E19" s="15">
        <v>12315841</v>
      </c>
      <c r="F19" s="16">
        <v>5310</v>
      </c>
      <c r="G19" s="15">
        <v>331</v>
      </c>
    </row>
    <row r="20" spans="1:7" ht="12.75">
      <c r="A20" s="22">
        <f t="shared" si="1"/>
        <v>40320</v>
      </c>
      <c r="B20" s="15">
        <v>132200747</v>
      </c>
      <c r="D20" s="15">
        <f t="shared" si="0"/>
        <v>120914877</v>
      </c>
      <c r="E20" s="15">
        <v>11285870</v>
      </c>
      <c r="F20" s="16">
        <v>5310</v>
      </c>
      <c r="G20" s="15">
        <v>304</v>
      </c>
    </row>
    <row r="21" spans="1:7" ht="12.75">
      <c r="A21" s="22">
        <f t="shared" si="1"/>
        <v>40327</v>
      </c>
      <c r="B21" s="15">
        <v>133453244</v>
      </c>
      <c r="D21" s="15">
        <f t="shared" si="0"/>
        <v>122324717</v>
      </c>
      <c r="E21" s="15">
        <v>11128527</v>
      </c>
      <c r="F21" s="16">
        <v>5310</v>
      </c>
      <c r="G21" s="15">
        <v>299</v>
      </c>
    </row>
    <row r="22" spans="1:7" ht="12.75">
      <c r="A22" s="22">
        <f t="shared" si="1"/>
        <v>40334</v>
      </c>
      <c r="B22" s="15">
        <v>147017436</v>
      </c>
      <c r="D22" s="15">
        <f t="shared" si="0"/>
        <v>134237262</v>
      </c>
      <c r="E22" s="15">
        <v>12780174</v>
      </c>
      <c r="F22" s="16">
        <v>5310</v>
      </c>
      <c r="G22" s="15">
        <v>344</v>
      </c>
    </row>
    <row r="23" spans="1:7" ht="12.75">
      <c r="A23" s="22">
        <f t="shared" si="1"/>
        <v>40341</v>
      </c>
      <c r="B23" s="15">
        <v>132948576</v>
      </c>
      <c r="D23" s="15">
        <f t="shared" si="0"/>
        <v>121484416</v>
      </c>
      <c r="E23" s="15">
        <v>11464160</v>
      </c>
      <c r="F23" s="16">
        <v>5310</v>
      </c>
      <c r="G23" s="15">
        <v>308</v>
      </c>
    </row>
    <row r="24" spans="1:7" ht="12.75">
      <c r="A24" s="22">
        <f t="shared" si="1"/>
        <v>40348</v>
      </c>
      <c r="B24" s="15">
        <v>127075941</v>
      </c>
      <c r="D24" s="15">
        <f t="shared" si="0"/>
        <v>116584281</v>
      </c>
      <c r="E24" s="15">
        <v>10491660</v>
      </c>
      <c r="F24" s="16">
        <v>5310</v>
      </c>
      <c r="G24" s="15">
        <v>282</v>
      </c>
    </row>
    <row r="25" spans="1:7" ht="12.75">
      <c r="A25" s="22">
        <f t="shared" si="1"/>
        <v>40355</v>
      </c>
      <c r="B25" s="15">
        <v>123897317</v>
      </c>
      <c r="D25" s="15">
        <f t="shared" si="0"/>
        <v>113401865</v>
      </c>
      <c r="E25" s="15">
        <v>10495452</v>
      </c>
      <c r="F25" s="16">
        <v>5310</v>
      </c>
      <c r="G25" s="15">
        <v>282</v>
      </c>
    </row>
    <row r="26" spans="1:7" ht="12.75">
      <c r="A26" s="22">
        <f t="shared" si="1"/>
        <v>40362</v>
      </c>
      <c r="B26" s="15">
        <v>137524102</v>
      </c>
      <c r="D26" s="15">
        <f t="shared" si="0"/>
        <v>125775557</v>
      </c>
      <c r="E26" s="15">
        <v>11748545</v>
      </c>
      <c r="F26" s="16">
        <v>5310</v>
      </c>
      <c r="G26" s="15">
        <v>316</v>
      </c>
    </row>
    <row r="27" spans="1:7" ht="12.75">
      <c r="A27" s="22">
        <f t="shared" si="1"/>
        <v>40369</v>
      </c>
      <c r="B27" s="15">
        <v>148032812</v>
      </c>
      <c r="D27" s="15">
        <f t="shared" si="0"/>
        <v>135542777</v>
      </c>
      <c r="E27" s="15">
        <v>12490035</v>
      </c>
      <c r="F27" s="16">
        <v>5310</v>
      </c>
      <c r="G27" s="15">
        <v>336</v>
      </c>
    </row>
    <row r="28" spans="1:7" ht="12.75">
      <c r="A28" s="22">
        <f t="shared" si="1"/>
        <v>40376</v>
      </c>
      <c r="B28" s="15">
        <v>131731992</v>
      </c>
      <c r="D28" s="15">
        <f t="shared" si="0"/>
        <v>120790217</v>
      </c>
      <c r="E28" s="15">
        <v>10941775</v>
      </c>
      <c r="F28" s="16">
        <v>5310</v>
      </c>
      <c r="G28" s="15">
        <v>294</v>
      </c>
    </row>
    <row r="29" spans="1:7" ht="12.75">
      <c r="A29" s="22">
        <f t="shared" si="1"/>
        <v>40383</v>
      </c>
      <c r="B29" s="15">
        <v>133240723</v>
      </c>
      <c r="D29" s="15">
        <f t="shared" si="0"/>
        <v>122016158</v>
      </c>
      <c r="E29" s="15">
        <v>11224565</v>
      </c>
      <c r="F29" s="16">
        <v>5310</v>
      </c>
      <c r="G29" s="15">
        <v>302</v>
      </c>
    </row>
    <row r="30" spans="1:7" ht="12.75">
      <c r="A30" s="22">
        <f t="shared" si="1"/>
        <v>40390</v>
      </c>
      <c r="B30" s="15">
        <v>135435153</v>
      </c>
      <c r="D30" s="15">
        <f t="shared" si="0"/>
        <v>124018090</v>
      </c>
      <c r="E30" s="15">
        <v>11417063</v>
      </c>
      <c r="F30" s="16">
        <v>5310</v>
      </c>
      <c r="G30" s="15">
        <v>307</v>
      </c>
    </row>
    <row r="31" spans="1:7" ht="12.75">
      <c r="A31" s="22">
        <f t="shared" si="1"/>
        <v>40397</v>
      </c>
      <c r="B31" s="15">
        <v>141478430</v>
      </c>
      <c r="D31" s="15">
        <f t="shared" si="0"/>
        <v>129622683</v>
      </c>
      <c r="E31" s="15">
        <v>11855747</v>
      </c>
      <c r="F31" s="16">
        <v>5310</v>
      </c>
      <c r="G31" s="15">
        <v>319</v>
      </c>
    </row>
    <row r="32" spans="1:7" ht="12.75">
      <c r="A32" s="22">
        <f t="shared" si="1"/>
        <v>40404</v>
      </c>
      <c r="B32" s="15">
        <v>136367825</v>
      </c>
      <c r="C32" s="15">
        <v>0</v>
      </c>
      <c r="D32" s="15">
        <f t="shared" si="0"/>
        <v>124829971</v>
      </c>
      <c r="E32" s="15">
        <v>11537854</v>
      </c>
      <c r="F32" s="16">
        <v>5310</v>
      </c>
      <c r="G32" s="15">
        <v>310</v>
      </c>
    </row>
    <row r="33" spans="1:7" ht="12.75">
      <c r="A33" s="22">
        <f t="shared" si="1"/>
        <v>40411</v>
      </c>
      <c r="B33" s="15">
        <v>130113883</v>
      </c>
      <c r="C33" s="15">
        <v>0</v>
      </c>
      <c r="D33" s="15">
        <f t="shared" si="0"/>
        <v>119256606</v>
      </c>
      <c r="E33" s="15">
        <v>10857277</v>
      </c>
      <c r="F33" s="16">
        <v>5310</v>
      </c>
      <c r="G33" s="15">
        <v>292</v>
      </c>
    </row>
    <row r="34" spans="1:7" ht="12.75">
      <c r="A34" s="22">
        <f t="shared" si="1"/>
        <v>40418</v>
      </c>
      <c r="B34" s="15">
        <v>126475204</v>
      </c>
      <c r="C34" s="15">
        <v>0</v>
      </c>
      <c r="D34" s="15">
        <f t="shared" si="0"/>
        <v>115816166</v>
      </c>
      <c r="E34" s="15">
        <v>10659038</v>
      </c>
      <c r="F34" s="16">
        <v>5310</v>
      </c>
      <c r="G34" s="15">
        <v>287</v>
      </c>
    </row>
    <row r="35" spans="1:7" ht="12.75">
      <c r="A35" s="22">
        <f t="shared" si="1"/>
        <v>40425</v>
      </c>
      <c r="B35" s="15">
        <v>142046810</v>
      </c>
      <c r="C35" s="15">
        <v>0</v>
      </c>
      <c r="D35" s="15">
        <f t="shared" si="0"/>
        <v>129942901</v>
      </c>
      <c r="E35" s="15">
        <v>12103909</v>
      </c>
      <c r="F35" s="16">
        <v>5310</v>
      </c>
      <c r="G35" s="15">
        <v>326</v>
      </c>
    </row>
    <row r="36" spans="1:7" ht="12.75">
      <c r="A36" s="22">
        <f t="shared" si="1"/>
        <v>40432</v>
      </c>
      <c r="B36" s="15">
        <v>147497631</v>
      </c>
      <c r="C36" s="15">
        <v>0</v>
      </c>
      <c r="D36" s="15">
        <f t="shared" si="0"/>
        <v>134846300</v>
      </c>
      <c r="E36" s="15">
        <v>12651331</v>
      </c>
      <c r="F36" s="16">
        <v>5310</v>
      </c>
      <c r="G36" s="15">
        <v>340</v>
      </c>
    </row>
    <row r="37" spans="1:7" ht="12.75">
      <c r="A37" s="22">
        <f t="shared" si="1"/>
        <v>40439</v>
      </c>
      <c r="B37" s="15">
        <v>128499449</v>
      </c>
      <c r="C37" s="15">
        <v>0</v>
      </c>
      <c r="D37" s="15">
        <f t="shared" si="0"/>
        <v>117583855</v>
      </c>
      <c r="E37" s="15">
        <v>10915594</v>
      </c>
      <c r="F37" s="16">
        <v>5310</v>
      </c>
      <c r="G37" s="15">
        <v>294</v>
      </c>
    </row>
    <row r="38" spans="1:7" ht="12.75">
      <c r="A38" s="22">
        <f t="shared" si="1"/>
        <v>40446</v>
      </c>
      <c r="B38" s="15">
        <v>128759724</v>
      </c>
      <c r="C38" s="15">
        <v>0</v>
      </c>
      <c r="D38" s="15">
        <f t="shared" si="0"/>
        <v>117656729</v>
      </c>
      <c r="E38" s="15">
        <v>11102995</v>
      </c>
      <c r="F38" s="16">
        <v>5310</v>
      </c>
      <c r="G38" s="15">
        <v>299</v>
      </c>
    </row>
    <row r="39" spans="1:7" ht="12.75">
      <c r="A39" s="22">
        <f t="shared" si="1"/>
        <v>40453</v>
      </c>
      <c r="B39" s="15">
        <v>132070779</v>
      </c>
      <c r="C39" s="15">
        <v>0</v>
      </c>
      <c r="D39" s="15">
        <f t="shared" si="0"/>
        <v>120781328</v>
      </c>
      <c r="E39" s="15">
        <v>11289451</v>
      </c>
      <c r="F39" s="16">
        <v>5310</v>
      </c>
      <c r="G39" s="15">
        <v>304</v>
      </c>
    </row>
    <row r="40" spans="1:7" ht="12.75">
      <c r="A40" s="22">
        <f t="shared" si="1"/>
        <v>40460</v>
      </c>
      <c r="B40" s="15">
        <v>127939616</v>
      </c>
      <c r="C40" s="15">
        <v>0</v>
      </c>
      <c r="D40" s="15">
        <f t="shared" si="0"/>
        <v>116960010</v>
      </c>
      <c r="E40" s="15">
        <v>10979606</v>
      </c>
      <c r="F40" s="16">
        <v>5310</v>
      </c>
      <c r="G40" s="15">
        <v>295</v>
      </c>
    </row>
    <row r="41" spans="1:7" ht="12.75">
      <c r="A41" s="22">
        <f t="shared" si="1"/>
        <v>40467</v>
      </c>
      <c r="B41" s="15">
        <v>131222605</v>
      </c>
      <c r="C41" s="15">
        <v>0</v>
      </c>
      <c r="D41" s="15">
        <f t="shared" si="0"/>
        <v>120016949</v>
      </c>
      <c r="E41" s="15">
        <v>11205656</v>
      </c>
      <c r="F41" s="16">
        <v>5310</v>
      </c>
      <c r="G41" s="15">
        <v>301</v>
      </c>
    </row>
    <row r="42" spans="1:7" ht="12.75">
      <c r="A42" s="22">
        <f t="shared" si="1"/>
        <v>40474</v>
      </c>
      <c r="B42" s="15">
        <v>123789276</v>
      </c>
      <c r="C42" s="15">
        <v>0</v>
      </c>
      <c r="D42" s="15">
        <f t="shared" si="0"/>
        <v>113223646</v>
      </c>
      <c r="E42" s="15">
        <v>10565630</v>
      </c>
      <c r="F42" s="16">
        <v>5310</v>
      </c>
      <c r="G42" s="15">
        <v>284</v>
      </c>
    </row>
    <row r="43" spans="1:7" ht="12.75">
      <c r="A43" s="22">
        <f t="shared" si="1"/>
        <v>40481</v>
      </c>
      <c r="B43" s="15">
        <v>130994496</v>
      </c>
      <c r="C43" s="15">
        <v>0</v>
      </c>
      <c r="D43" s="15">
        <f t="shared" si="0"/>
        <v>120004921</v>
      </c>
      <c r="E43" s="15">
        <v>10989575</v>
      </c>
      <c r="F43" s="16">
        <v>5310</v>
      </c>
      <c r="G43" s="15">
        <v>296</v>
      </c>
    </row>
    <row r="44" spans="1:7" ht="12.75">
      <c r="A44" s="22">
        <f t="shared" si="1"/>
        <v>40488</v>
      </c>
      <c r="B44" s="15">
        <v>135142080</v>
      </c>
      <c r="C44" s="15">
        <v>0</v>
      </c>
      <c r="D44" s="15">
        <f>+B44-E44-C44</f>
        <v>123701081</v>
      </c>
      <c r="E44" s="15">
        <v>11440999</v>
      </c>
      <c r="F44" s="16">
        <v>5310</v>
      </c>
      <c r="G44" s="15">
        <v>308</v>
      </c>
    </row>
    <row r="45" spans="1:7" ht="12.75">
      <c r="A45" s="22">
        <f t="shared" si="1"/>
        <v>40495</v>
      </c>
      <c r="B45" s="15">
        <v>132963171.96</v>
      </c>
      <c r="C45" s="15">
        <v>377323.96</v>
      </c>
      <c r="D45" s="15">
        <f aca="true" t="shared" si="2" ref="D45:D64">+B45-C45-E45</f>
        <v>121677167</v>
      </c>
      <c r="E45" s="15">
        <v>10908681</v>
      </c>
      <c r="F45" s="16">
        <v>5310</v>
      </c>
      <c r="G45" s="15">
        <v>293</v>
      </c>
    </row>
    <row r="46" spans="1:7" ht="12.75">
      <c r="A46" s="22">
        <f t="shared" si="1"/>
        <v>40502</v>
      </c>
      <c r="B46" s="15">
        <v>125566066.28</v>
      </c>
      <c r="C46" s="15">
        <v>465094.28</v>
      </c>
      <c r="D46" s="15">
        <f t="shared" si="2"/>
        <v>114926679</v>
      </c>
      <c r="E46" s="15">
        <v>10174293</v>
      </c>
      <c r="F46" s="16">
        <v>5310</v>
      </c>
      <c r="G46" s="15">
        <v>274</v>
      </c>
    </row>
    <row r="47" spans="1:7" ht="12.75">
      <c r="A47" s="22">
        <f t="shared" si="1"/>
        <v>40509</v>
      </c>
      <c r="B47" s="15">
        <v>134984846.15</v>
      </c>
      <c r="C47" s="15">
        <v>401651.15</v>
      </c>
      <c r="D47" s="15">
        <f t="shared" si="2"/>
        <v>123319805</v>
      </c>
      <c r="E47" s="15">
        <v>11263390</v>
      </c>
      <c r="F47" s="16">
        <v>5307</v>
      </c>
      <c r="G47" s="15">
        <v>303</v>
      </c>
    </row>
    <row r="48" spans="1:7" ht="12.75">
      <c r="A48" s="22">
        <f t="shared" si="1"/>
        <v>40516</v>
      </c>
      <c r="B48" s="15">
        <v>124302819.45</v>
      </c>
      <c r="C48" s="15">
        <v>390863.45</v>
      </c>
      <c r="D48" s="15">
        <f t="shared" si="2"/>
        <v>113802840</v>
      </c>
      <c r="E48" s="15">
        <v>10109116</v>
      </c>
      <c r="F48" s="16">
        <v>5289</v>
      </c>
      <c r="G48" s="15">
        <v>273</v>
      </c>
    </row>
    <row r="49" spans="1:7" ht="12.75">
      <c r="A49" s="22">
        <f t="shared" si="1"/>
        <v>40523</v>
      </c>
      <c r="B49" s="15">
        <v>117991522.27</v>
      </c>
      <c r="C49" s="15">
        <v>382292.27</v>
      </c>
      <c r="D49" s="15">
        <f t="shared" si="2"/>
        <v>107898758</v>
      </c>
      <c r="E49" s="15">
        <v>9710472</v>
      </c>
      <c r="F49" s="16">
        <v>5286</v>
      </c>
      <c r="G49" s="15">
        <v>262</v>
      </c>
    </row>
    <row r="50" spans="1:7" ht="12.75">
      <c r="A50" s="22">
        <f t="shared" si="1"/>
        <v>40530</v>
      </c>
      <c r="B50" s="15">
        <v>111562443.45</v>
      </c>
      <c r="C50" s="15">
        <v>349676.45</v>
      </c>
      <c r="D50" s="15">
        <f t="shared" si="2"/>
        <v>102421536</v>
      </c>
      <c r="E50" s="15">
        <v>8791231</v>
      </c>
      <c r="F50" s="16">
        <v>5287</v>
      </c>
      <c r="G50" s="15">
        <v>238</v>
      </c>
    </row>
    <row r="51" spans="1:7" ht="12.75">
      <c r="A51" s="22">
        <f t="shared" si="1"/>
        <v>40537</v>
      </c>
      <c r="B51" s="15">
        <v>117172417.94</v>
      </c>
      <c r="C51" s="15">
        <v>366912.94</v>
      </c>
      <c r="D51" s="15">
        <f t="shared" si="2"/>
        <v>107593485</v>
      </c>
      <c r="E51" s="15">
        <v>9212020</v>
      </c>
      <c r="F51" s="16">
        <v>5310</v>
      </c>
      <c r="G51" s="15">
        <v>248</v>
      </c>
    </row>
    <row r="52" spans="1:7" ht="12.75">
      <c r="A52" s="22">
        <f t="shared" si="1"/>
        <v>40544</v>
      </c>
      <c r="B52" s="15">
        <v>124986029.24</v>
      </c>
      <c r="C52" s="15">
        <v>359340.24</v>
      </c>
      <c r="D52" s="15">
        <f t="shared" si="2"/>
        <v>114716532</v>
      </c>
      <c r="E52" s="15">
        <v>9910157</v>
      </c>
      <c r="F52" s="16">
        <v>5310</v>
      </c>
      <c r="G52" s="15">
        <v>267</v>
      </c>
    </row>
    <row r="53" spans="1:7" ht="12.75">
      <c r="A53" s="22">
        <f t="shared" si="1"/>
        <v>40551</v>
      </c>
      <c r="B53" s="15">
        <v>131335467</v>
      </c>
      <c r="C53" s="15">
        <v>0</v>
      </c>
      <c r="D53" s="15">
        <f t="shared" si="2"/>
        <v>120271698</v>
      </c>
      <c r="E53" s="15">
        <v>11063769</v>
      </c>
      <c r="F53" s="16">
        <v>5310</v>
      </c>
      <c r="G53" s="15">
        <v>298</v>
      </c>
    </row>
    <row r="54" spans="1:7" ht="12.75">
      <c r="A54" s="22">
        <f t="shared" si="1"/>
        <v>40558</v>
      </c>
      <c r="B54" s="15">
        <v>121295777</v>
      </c>
      <c r="C54" s="15">
        <v>0</v>
      </c>
      <c r="D54" s="15">
        <f t="shared" si="2"/>
        <v>111291586</v>
      </c>
      <c r="E54" s="15">
        <v>10004191</v>
      </c>
      <c r="F54" s="16">
        <v>5310</v>
      </c>
      <c r="G54" s="15">
        <v>269</v>
      </c>
    </row>
    <row r="55" spans="1:7" ht="12.75">
      <c r="A55" s="22">
        <f t="shared" si="1"/>
        <v>40565</v>
      </c>
      <c r="B55" s="15">
        <v>131103384</v>
      </c>
      <c r="C55" s="15">
        <v>0</v>
      </c>
      <c r="D55" s="15">
        <f t="shared" si="2"/>
        <v>119821827</v>
      </c>
      <c r="E55" s="15">
        <v>11281557</v>
      </c>
      <c r="F55" s="16">
        <v>5310</v>
      </c>
      <c r="G55" s="15">
        <v>304</v>
      </c>
    </row>
    <row r="56" spans="1:7" ht="12.75">
      <c r="A56" s="22">
        <f t="shared" si="1"/>
        <v>40572</v>
      </c>
      <c r="B56" s="15">
        <v>105579089</v>
      </c>
      <c r="C56" s="15">
        <v>0</v>
      </c>
      <c r="D56" s="15">
        <f t="shared" si="2"/>
        <v>96701223</v>
      </c>
      <c r="E56" s="15">
        <v>8877866</v>
      </c>
      <c r="F56" s="16">
        <v>5310</v>
      </c>
      <c r="G56" s="15">
        <v>239</v>
      </c>
    </row>
    <row r="57" spans="1:7" ht="12.75">
      <c r="A57" s="22">
        <f t="shared" si="1"/>
        <v>40579</v>
      </c>
      <c r="B57" s="15">
        <v>133595746</v>
      </c>
      <c r="C57" s="15">
        <v>0</v>
      </c>
      <c r="D57" s="15">
        <f t="shared" si="2"/>
        <v>122514206</v>
      </c>
      <c r="E57" s="15">
        <v>11081540</v>
      </c>
      <c r="F57" s="16">
        <v>5310</v>
      </c>
      <c r="G57" s="15">
        <v>298</v>
      </c>
    </row>
    <row r="58" spans="1:7" ht="12.75">
      <c r="A58" s="22">
        <f t="shared" si="1"/>
        <v>40586</v>
      </c>
      <c r="B58" s="15">
        <v>148877947</v>
      </c>
      <c r="C58" s="15">
        <v>0</v>
      </c>
      <c r="D58" s="15">
        <f t="shared" si="2"/>
        <v>136308820</v>
      </c>
      <c r="E58" s="15">
        <v>12569127</v>
      </c>
      <c r="F58" s="16">
        <v>5310</v>
      </c>
      <c r="G58" s="15">
        <v>338</v>
      </c>
    </row>
    <row r="59" spans="1:7" ht="12.75">
      <c r="A59" s="22">
        <f t="shared" si="1"/>
        <v>40593</v>
      </c>
      <c r="B59" s="15">
        <v>158981012</v>
      </c>
      <c r="C59" s="15">
        <v>0</v>
      </c>
      <c r="D59" s="15">
        <f t="shared" si="2"/>
        <v>145378706</v>
      </c>
      <c r="E59" s="15">
        <v>13602306</v>
      </c>
      <c r="F59" s="16">
        <v>5310</v>
      </c>
      <c r="G59" s="15">
        <v>366</v>
      </c>
    </row>
    <row r="60" spans="1:7" ht="12.75">
      <c r="A60" s="22">
        <f t="shared" si="1"/>
        <v>40600</v>
      </c>
      <c r="B60" s="15">
        <v>168689134</v>
      </c>
      <c r="C60" s="15">
        <v>0</v>
      </c>
      <c r="D60" s="15">
        <f t="shared" si="2"/>
        <v>154868265</v>
      </c>
      <c r="E60" s="15">
        <v>13820869</v>
      </c>
      <c r="F60" s="16">
        <v>5310</v>
      </c>
      <c r="G60" s="15">
        <v>372</v>
      </c>
    </row>
    <row r="61" spans="1:7" ht="12.75">
      <c r="A61" s="22">
        <f t="shared" si="1"/>
        <v>40607</v>
      </c>
      <c r="B61" s="15">
        <v>172846417</v>
      </c>
      <c r="C61" s="15">
        <v>0</v>
      </c>
      <c r="D61" s="15">
        <f t="shared" si="2"/>
        <v>158212489</v>
      </c>
      <c r="E61" s="15">
        <v>14633928</v>
      </c>
      <c r="F61" s="16">
        <v>5310</v>
      </c>
      <c r="G61" s="15">
        <v>394</v>
      </c>
    </row>
    <row r="62" spans="1:7" ht="12.75">
      <c r="A62" s="22">
        <f t="shared" si="1"/>
        <v>40614</v>
      </c>
      <c r="B62" s="15">
        <v>151545415</v>
      </c>
      <c r="C62" s="15">
        <v>0</v>
      </c>
      <c r="D62" s="15">
        <f t="shared" si="2"/>
        <v>138533029</v>
      </c>
      <c r="E62" s="15">
        <v>13012386</v>
      </c>
      <c r="F62" s="16">
        <v>5310</v>
      </c>
      <c r="G62" s="15">
        <v>350</v>
      </c>
    </row>
    <row r="63" spans="1:7" ht="12.75">
      <c r="A63" s="22">
        <f t="shared" si="1"/>
        <v>40621</v>
      </c>
      <c r="B63" s="15">
        <v>163314109</v>
      </c>
      <c r="C63" s="15">
        <v>0</v>
      </c>
      <c r="D63" s="15">
        <f t="shared" si="2"/>
        <v>149508870</v>
      </c>
      <c r="E63" s="15">
        <v>13805239</v>
      </c>
      <c r="F63" s="16">
        <v>5310</v>
      </c>
      <c r="G63" s="15">
        <v>371</v>
      </c>
    </row>
    <row r="64" spans="1:7" ht="12.75">
      <c r="A64" s="22">
        <f t="shared" si="1"/>
        <v>40628</v>
      </c>
      <c r="B64" s="15">
        <v>151213053</v>
      </c>
      <c r="C64" s="15">
        <v>0</v>
      </c>
      <c r="D64" s="15">
        <f t="shared" si="2"/>
        <v>138626315</v>
      </c>
      <c r="E64" s="15">
        <v>12586738</v>
      </c>
      <c r="F64" s="16">
        <v>5310</v>
      </c>
      <c r="G64" s="15">
        <v>339</v>
      </c>
    </row>
    <row r="65" ht="12.75">
      <c r="A65" s="22"/>
    </row>
    <row r="66" spans="1:7" ht="13.5" thickBot="1">
      <c r="A66" s="3" t="s">
        <v>8</v>
      </c>
      <c r="B66" s="17">
        <f>SUM(B13:B64)</f>
        <v>7055835914.739999</v>
      </c>
      <c r="C66" s="17">
        <f>SUM(C13:C64)</f>
        <v>3093154.74</v>
      </c>
      <c r="D66" s="17">
        <f>SUM(D13:D64)</f>
        <v>6460097790</v>
      </c>
      <c r="E66" s="17">
        <f>SUM(E13:E64)</f>
        <v>592644970</v>
      </c>
      <c r="F66" s="24">
        <f>SUM(F13:F64)/COUNT(F13:F64)</f>
        <v>5308.634615384615</v>
      </c>
      <c r="G66" s="17">
        <f>+E66/SUM(F13:F64)/7</f>
        <v>306.69760492831756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5:G5"/>
    <mergeCell ref="A8:G8"/>
    <mergeCell ref="A1:G1"/>
    <mergeCell ref="A2:G2"/>
    <mergeCell ref="A3:G3"/>
    <mergeCell ref="A4:G4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pane ySplit="11" topLeftCell="A60" activePane="bottomLeft" state="frozen"/>
      <selection pane="topLeft" activeCell="A1" sqref="A1"/>
      <selection pane="bottomLeft" activeCell="B68" sqref="B68"/>
    </sheetView>
  </sheetViews>
  <sheetFormatPr defaultColWidth="9.140625" defaultRowHeight="12.75"/>
  <cols>
    <col min="1" max="1" width="16.00390625" style="3" customWidth="1"/>
    <col min="2" max="4" width="16.00390625" style="15" customWidth="1"/>
    <col min="5" max="5" width="16.00390625" style="16" customWidth="1"/>
    <col min="6" max="6" width="16.00390625" style="15" customWidth="1"/>
  </cols>
  <sheetData>
    <row r="1" spans="1:7" ht="18">
      <c r="A1" s="73" t="s">
        <v>15</v>
      </c>
      <c r="B1" s="73"/>
      <c r="C1" s="73"/>
      <c r="D1" s="73"/>
      <c r="E1" s="73"/>
      <c r="F1" s="73"/>
      <c r="G1" s="26"/>
    </row>
    <row r="2" spans="1:7" ht="15">
      <c r="A2" s="74" t="s">
        <v>16</v>
      </c>
      <c r="B2" s="74"/>
      <c r="C2" s="74"/>
      <c r="D2" s="74"/>
      <c r="E2" s="74"/>
      <c r="F2" s="74"/>
      <c r="G2" s="27"/>
    </row>
    <row r="3" spans="1:7" s="1" customFormat="1" ht="15">
      <c r="A3" s="74" t="s">
        <v>17</v>
      </c>
      <c r="B3" s="74"/>
      <c r="C3" s="74"/>
      <c r="D3" s="74"/>
      <c r="E3" s="74"/>
      <c r="F3" s="74"/>
      <c r="G3" s="27"/>
    </row>
    <row r="4" spans="1:7" s="1" customFormat="1" ht="14.25">
      <c r="A4" s="65" t="s">
        <v>18</v>
      </c>
      <c r="B4" s="65"/>
      <c r="C4" s="65"/>
      <c r="D4" s="65"/>
      <c r="E4" s="65"/>
      <c r="F4" s="65"/>
      <c r="G4" s="28"/>
    </row>
    <row r="5" spans="1:7" s="1" customFormat="1" ht="14.25">
      <c r="A5" s="75" t="s">
        <v>19</v>
      </c>
      <c r="B5" s="75"/>
      <c r="C5" s="75"/>
      <c r="D5" s="75"/>
      <c r="E5" s="75"/>
      <c r="F5" s="75"/>
      <c r="G5" s="29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70" t="s">
        <v>10</v>
      </c>
      <c r="B8" s="71"/>
      <c r="C8" s="71"/>
      <c r="D8" s="71"/>
      <c r="E8" s="71"/>
      <c r="F8" s="72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1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39907</v>
      </c>
      <c r="B13" s="15">
        <v>131740539.82000001</v>
      </c>
      <c r="C13" s="15">
        <f>+B13-D13</f>
        <v>120790373.81</v>
      </c>
      <c r="D13" s="15">
        <v>10950166.01</v>
      </c>
      <c r="E13" s="16">
        <v>5334</v>
      </c>
      <c r="F13" s="15">
        <v>293.2713592050994</v>
      </c>
    </row>
    <row r="14" spans="1:6" ht="12.75">
      <c r="A14" s="22">
        <v>39914</v>
      </c>
      <c r="B14" s="15">
        <v>132888772.34</v>
      </c>
      <c r="C14" s="15">
        <f aca="true" t="shared" si="0" ref="C14:C64">+B14-D14</f>
        <v>121824950.77000001</v>
      </c>
      <c r="D14" s="15">
        <v>11063821.57</v>
      </c>
      <c r="E14" s="16">
        <v>5334</v>
      </c>
      <c r="F14" s="15">
        <v>296.31532406663456</v>
      </c>
    </row>
    <row r="15" spans="1:6" ht="12.75">
      <c r="A15" s="22">
        <v>39921</v>
      </c>
      <c r="B15" s="15">
        <v>139634420.22</v>
      </c>
      <c r="C15" s="15">
        <f t="shared" si="0"/>
        <v>127910186.75</v>
      </c>
      <c r="D15" s="15">
        <v>11724233.469999999</v>
      </c>
      <c r="E15" s="16">
        <v>5334</v>
      </c>
      <c r="F15" s="15">
        <v>314.0027176067277</v>
      </c>
    </row>
    <row r="16" spans="1:6" ht="12.75">
      <c r="A16" s="22">
        <v>39928</v>
      </c>
      <c r="B16" s="15">
        <v>124538555.02000001</v>
      </c>
      <c r="C16" s="15">
        <f t="shared" si="0"/>
        <v>114061531.76</v>
      </c>
      <c r="D16" s="15">
        <v>10477023.26</v>
      </c>
      <c r="E16" s="16">
        <v>5334</v>
      </c>
      <c r="F16" s="15">
        <v>280.5994766725588</v>
      </c>
    </row>
    <row r="17" spans="1:6" ht="12.75">
      <c r="A17" s="22">
        <v>39935</v>
      </c>
      <c r="B17" s="15">
        <v>129298049.03</v>
      </c>
      <c r="C17" s="15">
        <f t="shared" si="0"/>
        <v>118339686.37</v>
      </c>
      <c r="D17" s="15">
        <v>10958362.66</v>
      </c>
      <c r="E17" s="16">
        <v>5334</v>
      </c>
      <c r="F17" s="15">
        <v>293.49088488938884</v>
      </c>
    </row>
    <row r="18" spans="1:6" ht="12.75">
      <c r="A18" s="22">
        <v>39942</v>
      </c>
      <c r="B18" s="15">
        <v>131324239.19</v>
      </c>
      <c r="C18" s="15">
        <f t="shared" si="0"/>
        <v>120463250.4</v>
      </c>
      <c r="D18" s="15">
        <v>10860988.79</v>
      </c>
      <c r="E18" s="16">
        <v>5334</v>
      </c>
      <c r="F18" s="15">
        <v>290.88298221650865</v>
      </c>
    </row>
    <row r="19" spans="1:6" ht="12.75">
      <c r="A19" s="22">
        <v>39949</v>
      </c>
      <c r="B19" s="15">
        <v>133929460.57999998</v>
      </c>
      <c r="C19" s="15">
        <f t="shared" si="0"/>
        <v>122815527.57999998</v>
      </c>
      <c r="D19" s="15">
        <v>11113933</v>
      </c>
      <c r="E19" s="16">
        <v>5334</v>
      </c>
      <c r="F19" s="15">
        <v>297.65742675022767</v>
      </c>
    </row>
    <row r="20" spans="1:6" ht="12.75">
      <c r="A20" s="22">
        <v>39956</v>
      </c>
      <c r="B20" s="15">
        <v>125938584.65</v>
      </c>
      <c r="C20" s="15">
        <f t="shared" si="0"/>
        <v>115306787.34</v>
      </c>
      <c r="D20" s="15">
        <v>10631797.309999999</v>
      </c>
      <c r="E20" s="16">
        <v>5334</v>
      </c>
      <c r="F20" s="15">
        <v>284.7446920027853</v>
      </c>
    </row>
    <row r="21" spans="1:6" ht="12.75">
      <c r="A21" s="22">
        <v>39963</v>
      </c>
      <c r="B21" s="15">
        <v>140874188.34</v>
      </c>
      <c r="C21" s="15">
        <f t="shared" si="0"/>
        <v>128850748.74000001</v>
      </c>
      <c r="D21" s="15">
        <v>12023439.600000001</v>
      </c>
      <c r="E21" s="16">
        <v>5320.285714285715</v>
      </c>
      <c r="F21" s="15">
        <v>322.8462381182536</v>
      </c>
    </row>
    <row r="22" spans="1:6" ht="12.75">
      <c r="A22" s="22">
        <v>39970</v>
      </c>
      <c r="B22" s="15">
        <v>131215527.56</v>
      </c>
      <c r="C22" s="15">
        <f t="shared" si="0"/>
        <v>120107893.32000001</v>
      </c>
      <c r="D22" s="15">
        <v>11107634.239999998</v>
      </c>
      <c r="E22" s="16">
        <v>5310</v>
      </c>
      <c r="F22" s="15">
        <v>298.83331288673656</v>
      </c>
    </row>
    <row r="23" spans="1:6" ht="12.75">
      <c r="A23" s="22">
        <v>39977</v>
      </c>
      <c r="B23" s="15">
        <v>128617338.05</v>
      </c>
      <c r="C23" s="15">
        <f t="shared" si="0"/>
        <v>118038296.66999999</v>
      </c>
      <c r="D23" s="15">
        <v>10579041.380000003</v>
      </c>
      <c r="E23" s="16">
        <v>5310</v>
      </c>
      <c r="F23" s="15">
        <v>284.6123588915793</v>
      </c>
    </row>
    <row r="24" spans="1:6" ht="12.75">
      <c r="A24" s="22">
        <v>39984</v>
      </c>
      <c r="B24" s="15">
        <v>125266682.06</v>
      </c>
      <c r="C24" s="15">
        <f t="shared" si="0"/>
        <v>114634399.01</v>
      </c>
      <c r="D24" s="15">
        <v>10632283.05</v>
      </c>
      <c r="E24" s="16">
        <v>5310</v>
      </c>
      <c r="F24" s="15">
        <v>286.0447417271994</v>
      </c>
    </row>
    <row r="25" spans="1:6" ht="12.75">
      <c r="A25" s="22">
        <v>39991</v>
      </c>
      <c r="B25" s="15">
        <v>123483741.88999999</v>
      </c>
      <c r="C25" s="15">
        <f t="shared" si="0"/>
        <v>113092490.89999999</v>
      </c>
      <c r="D25" s="15">
        <v>10391250.99</v>
      </c>
      <c r="E25" s="16">
        <v>5310</v>
      </c>
      <c r="F25" s="15">
        <v>279.5601557707829</v>
      </c>
    </row>
    <row r="26" spans="1:6" ht="12.75">
      <c r="A26" s="22">
        <v>39998</v>
      </c>
      <c r="B26" s="15">
        <v>140845355.18</v>
      </c>
      <c r="C26" s="15">
        <f t="shared" si="0"/>
        <v>129034400.06</v>
      </c>
      <c r="D26" s="15">
        <v>11810955.12</v>
      </c>
      <c r="E26" s="16">
        <v>5310</v>
      </c>
      <c r="F26" s="15">
        <v>317.7550476190476</v>
      </c>
    </row>
    <row r="27" spans="1:6" ht="12.75">
      <c r="A27" s="22">
        <v>40005</v>
      </c>
      <c r="B27" s="15">
        <v>127202168.11000001</v>
      </c>
      <c r="C27" s="15">
        <f t="shared" si="0"/>
        <v>116432598.14000002</v>
      </c>
      <c r="D27" s="15">
        <v>10769569.97</v>
      </c>
      <c r="E27" s="16">
        <v>5310</v>
      </c>
      <c r="F27" s="15">
        <v>289.7382289480764</v>
      </c>
    </row>
    <row r="28" spans="1:6" ht="12.75">
      <c r="A28" s="22">
        <v>40012</v>
      </c>
      <c r="B28" s="15">
        <v>120976357.72</v>
      </c>
      <c r="C28" s="15">
        <f t="shared" si="0"/>
        <v>110649275.42</v>
      </c>
      <c r="D28" s="15">
        <v>10327082.3</v>
      </c>
      <c r="E28" s="16">
        <v>5310</v>
      </c>
      <c r="F28" s="15">
        <v>277.8337987624428</v>
      </c>
    </row>
    <row r="29" spans="1:6" ht="12.75">
      <c r="A29" s="22">
        <v>40019</v>
      </c>
      <c r="B29" s="15">
        <v>124330897.45</v>
      </c>
      <c r="C29" s="15">
        <f t="shared" si="0"/>
        <v>114130251.05</v>
      </c>
      <c r="D29" s="15">
        <v>10200646.4</v>
      </c>
      <c r="E29" s="16">
        <v>5310</v>
      </c>
      <c r="F29" s="15">
        <v>274.43224105461394</v>
      </c>
    </row>
    <row r="30" spans="1:6" ht="12.75">
      <c r="A30" s="22">
        <v>40026</v>
      </c>
      <c r="B30" s="15">
        <v>124061986.17</v>
      </c>
      <c r="C30" s="15">
        <f t="shared" si="0"/>
        <v>113657891.19</v>
      </c>
      <c r="D30" s="15">
        <v>10404094.979999999</v>
      </c>
      <c r="E30" s="16">
        <v>5310</v>
      </c>
      <c r="F30" s="15">
        <v>279.9057029862792</v>
      </c>
    </row>
    <row r="31" spans="1:6" ht="12.75">
      <c r="A31" s="22">
        <v>40033</v>
      </c>
      <c r="B31" s="15">
        <v>132617096.54</v>
      </c>
      <c r="C31" s="15">
        <f t="shared" si="0"/>
        <v>121539661.72</v>
      </c>
      <c r="D31" s="15">
        <v>11077434.82</v>
      </c>
      <c r="E31" s="16">
        <v>5310</v>
      </c>
      <c r="F31" s="15">
        <v>298.02084530535376</v>
      </c>
    </row>
    <row r="32" spans="1:6" ht="12.75">
      <c r="A32" s="22">
        <v>40040</v>
      </c>
      <c r="B32" s="15">
        <v>124880447.99</v>
      </c>
      <c r="C32" s="15">
        <f t="shared" si="0"/>
        <v>114083111.97999999</v>
      </c>
      <c r="D32" s="15">
        <v>10797336.01</v>
      </c>
      <c r="E32" s="16">
        <v>5310</v>
      </c>
      <c r="F32" s="15">
        <v>290.48523029324724</v>
      </c>
    </row>
    <row r="33" spans="1:6" ht="12.75">
      <c r="A33" s="22">
        <v>40047</v>
      </c>
      <c r="B33" s="15">
        <v>125496986.23999998</v>
      </c>
      <c r="C33" s="15">
        <f t="shared" si="0"/>
        <v>114841776.60999998</v>
      </c>
      <c r="D33" s="15">
        <v>10655209.629999999</v>
      </c>
      <c r="E33" s="16">
        <v>5310</v>
      </c>
      <c r="F33" s="15">
        <v>286.661545063223</v>
      </c>
    </row>
    <row r="34" spans="1:6" ht="12.75">
      <c r="A34" s="22">
        <v>40054</v>
      </c>
      <c r="B34" s="15">
        <v>123215465.31</v>
      </c>
      <c r="C34" s="15">
        <f t="shared" si="0"/>
        <v>112722090.62</v>
      </c>
      <c r="D34" s="15">
        <v>10493374.69</v>
      </c>
      <c r="E34" s="16">
        <v>5310</v>
      </c>
      <c r="F34" s="15">
        <v>282.3076322302932</v>
      </c>
    </row>
    <row r="35" spans="1:6" ht="12.75">
      <c r="A35" s="22">
        <v>40061</v>
      </c>
      <c r="B35" s="15">
        <v>131163240.89000002</v>
      </c>
      <c r="C35" s="15">
        <f t="shared" si="0"/>
        <v>119783595.14000002</v>
      </c>
      <c r="D35" s="15">
        <v>11379645.75</v>
      </c>
      <c r="E35" s="16">
        <v>5310</v>
      </c>
      <c r="F35" s="15">
        <v>306.15135189669087</v>
      </c>
    </row>
    <row r="36" spans="1:6" ht="12.75">
      <c r="A36" s="22">
        <f>+A35+7</f>
        <v>40068</v>
      </c>
      <c r="B36" s="15">
        <v>130393421.69999999</v>
      </c>
      <c r="C36" s="15">
        <f t="shared" si="0"/>
        <v>119704042.30999999</v>
      </c>
      <c r="D36" s="15">
        <v>10689379.39</v>
      </c>
      <c r="E36" s="16">
        <v>5310</v>
      </c>
      <c r="F36" s="15">
        <v>287.58082835620127</v>
      </c>
    </row>
    <row r="37" spans="1:6" ht="12.75">
      <c r="A37" s="22">
        <f aca="true" t="shared" si="1" ref="A37:A64">+A36+7</f>
        <v>40075</v>
      </c>
      <c r="B37" s="15">
        <v>122214085.39999999</v>
      </c>
      <c r="C37" s="15">
        <f t="shared" si="0"/>
        <v>111665655.19999999</v>
      </c>
      <c r="D37" s="15">
        <v>10548430.200000001</v>
      </c>
      <c r="E37" s="16">
        <v>5310</v>
      </c>
      <c r="F37" s="15">
        <v>283.7888135593221</v>
      </c>
    </row>
    <row r="38" spans="1:6" ht="12.75">
      <c r="A38" s="22">
        <f t="shared" si="1"/>
        <v>40082</v>
      </c>
      <c r="B38" s="15">
        <v>117008009</v>
      </c>
      <c r="C38" s="15">
        <f t="shared" si="0"/>
        <v>107118200</v>
      </c>
      <c r="D38" s="15">
        <v>9889809</v>
      </c>
      <c r="E38" s="16">
        <v>5310</v>
      </c>
      <c r="F38" s="15">
        <v>266</v>
      </c>
    </row>
    <row r="39" spans="1:6" ht="12.75">
      <c r="A39" s="22">
        <f t="shared" si="1"/>
        <v>40089</v>
      </c>
      <c r="B39" s="15">
        <v>127471814</v>
      </c>
      <c r="C39" s="15">
        <f t="shared" si="0"/>
        <v>116570097</v>
      </c>
      <c r="D39" s="15">
        <v>10901717</v>
      </c>
      <c r="E39" s="16">
        <v>5310</v>
      </c>
      <c r="F39" s="15">
        <v>293</v>
      </c>
    </row>
    <row r="40" spans="1:6" ht="12.75">
      <c r="A40" s="22">
        <f t="shared" si="1"/>
        <v>40096</v>
      </c>
      <c r="B40" s="15">
        <v>120846511</v>
      </c>
      <c r="C40" s="15">
        <f t="shared" si="0"/>
        <v>110710530</v>
      </c>
      <c r="D40" s="15">
        <v>10135981</v>
      </c>
      <c r="E40" s="16">
        <v>5310</v>
      </c>
      <c r="F40" s="15">
        <v>273</v>
      </c>
    </row>
    <row r="41" spans="1:6" ht="12.75">
      <c r="A41" s="22">
        <f t="shared" si="1"/>
        <v>40103</v>
      </c>
      <c r="B41" s="15">
        <v>119860254</v>
      </c>
      <c r="C41" s="15">
        <f t="shared" si="0"/>
        <v>109937883</v>
      </c>
      <c r="D41" s="15">
        <v>9922371</v>
      </c>
      <c r="E41" s="16">
        <v>5310</v>
      </c>
      <c r="F41" s="15">
        <v>267</v>
      </c>
    </row>
    <row r="42" spans="1:6" ht="12.75">
      <c r="A42" s="22">
        <f t="shared" si="1"/>
        <v>40110</v>
      </c>
      <c r="B42" s="15">
        <v>111601939</v>
      </c>
      <c r="C42" s="15">
        <f t="shared" si="0"/>
        <v>102192334</v>
      </c>
      <c r="D42" s="15">
        <v>9409605</v>
      </c>
      <c r="E42" s="16">
        <v>5310</v>
      </c>
      <c r="F42" s="15">
        <v>253</v>
      </c>
    </row>
    <row r="43" spans="1:6" ht="12.75">
      <c r="A43" s="22">
        <f t="shared" si="1"/>
        <v>40117</v>
      </c>
      <c r="B43" s="15">
        <v>117415730</v>
      </c>
      <c r="C43" s="15">
        <f t="shared" si="0"/>
        <v>107352265</v>
      </c>
      <c r="D43" s="15">
        <v>10063465</v>
      </c>
      <c r="E43" s="16">
        <v>5310</v>
      </c>
      <c r="F43" s="15">
        <v>271</v>
      </c>
    </row>
    <row r="44" spans="1:6" ht="12.75">
      <c r="A44" s="22">
        <f t="shared" si="1"/>
        <v>40124</v>
      </c>
      <c r="B44" s="15">
        <v>123961267</v>
      </c>
      <c r="C44" s="15">
        <f t="shared" si="0"/>
        <v>113483508</v>
      </c>
      <c r="D44" s="15">
        <v>10477759</v>
      </c>
      <c r="E44" s="16">
        <v>5310</v>
      </c>
      <c r="F44" s="15">
        <v>282</v>
      </c>
    </row>
    <row r="45" spans="1:6" ht="12.75">
      <c r="A45" s="22">
        <f t="shared" si="1"/>
        <v>40131</v>
      </c>
      <c r="B45" s="15">
        <v>120050954</v>
      </c>
      <c r="C45" s="15">
        <f t="shared" si="0"/>
        <v>109924672</v>
      </c>
      <c r="D45" s="15">
        <v>10126282</v>
      </c>
      <c r="E45" s="16">
        <v>5310</v>
      </c>
      <c r="F45" s="15">
        <v>272</v>
      </c>
    </row>
    <row r="46" spans="1:6" ht="12.75">
      <c r="A46" s="22">
        <f t="shared" si="1"/>
        <v>40138</v>
      </c>
      <c r="B46" s="15">
        <v>118621935</v>
      </c>
      <c r="C46" s="15">
        <f t="shared" si="0"/>
        <v>108881821</v>
      </c>
      <c r="D46" s="15">
        <v>9740114</v>
      </c>
      <c r="E46" s="16">
        <v>5310</v>
      </c>
      <c r="F46" s="15">
        <v>262</v>
      </c>
    </row>
    <row r="47" spans="1:6" ht="12.75">
      <c r="A47" s="22">
        <f t="shared" si="1"/>
        <v>40145</v>
      </c>
      <c r="B47" s="15">
        <v>118526699</v>
      </c>
      <c r="C47" s="15">
        <f t="shared" si="0"/>
        <v>108683590</v>
      </c>
      <c r="D47" s="15">
        <v>9843109</v>
      </c>
      <c r="E47" s="16">
        <v>5310</v>
      </c>
      <c r="F47" s="15">
        <v>265</v>
      </c>
    </row>
    <row r="48" spans="1:6" ht="12.75">
      <c r="A48" s="22">
        <f t="shared" si="1"/>
        <v>40152</v>
      </c>
      <c r="B48" s="15">
        <v>111343807</v>
      </c>
      <c r="C48" s="15">
        <f t="shared" si="0"/>
        <v>101818352</v>
      </c>
      <c r="D48" s="15">
        <v>9525455</v>
      </c>
      <c r="E48" s="16">
        <v>5310</v>
      </c>
      <c r="F48" s="15">
        <v>256</v>
      </c>
    </row>
    <row r="49" spans="1:6" ht="12.75">
      <c r="A49" s="22">
        <f t="shared" si="1"/>
        <v>40159</v>
      </c>
      <c r="B49" s="15">
        <v>107582552</v>
      </c>
      <c r="C49" s="15">
        <f t="shared" si="0"/>
        <v>98508148</v>
      </c>
      <c r="D49" s="15">
        <v>9074404</v>
      </c>
      <c r="E49" s="16">
        <v>5310</v>
      </c>
      <c r="F49" s="15">
        <v>244</v>
      </c>
    </row>
    <row r="50" spans="1:6" ht="12.75">
      <c r="A50" s="22">
        <f t="shared" si="1"/>
        <v>40166</v>
      </c>
      <c r="B50" s="15">
        <v>92266026</v>
      </c>
      <c r="C50" s="15">
        <f t="shared" si="0"/>
        <v>84421694</v>
      </c>
      <c r="D50" s="15">
        <v>7844332</v>
      </c>
      <c r="E50" s="16">
        <v>5310</v>
      </c>
      <c r="F50" s="15">
        <v>211</v>
      </c>
    </row>
    <row r="51" spans="1:6" ht="12.75">
      <c r="A51" s="22">
        <f t="shared" si="1"/>
        <v>40173</v>
      </c>
      <c r="B51" s="15">
        <v>103768818</v>
      </c>
      <c r="C51" s="15">
        <f t="shared" si="0"/>
        <v>95075825</v>
      </c>
      <c r="D51" s="15">
        <v>8692993</v>
      </c>
      <c r="E51" s="16">
        <v>5310</v>
      </c>
      <c r="F51" s="15">
        <v>234</v>
      </c>
    </row>
    <row r="52" spans="1:6" ht="12.75">
      <c r="A52" s="22">
        <f t="shared" si="1"/>
        <v>40180</v>
      </c>
      <c r="B52" s="15">
        <v>149161333</v>
      </c>
      <c r="C52" s="15">
        <f t="shared" si="0"/>
        <v>136706742</v>
      </c>
      <c r="D52" s="15">
        <v>12454591</v>
      </c>
      <c r="E52" s="16">
        <v>5310</v>
      </c>
      <c r="F52" s="15">
        <v>335</v>
      </c>
    </row>
    <row r="53" spans="1:6" ht="12.75">
      <c r="A53" s="22">
        <f t="shared" si="1"/>
        <v>40187</v>
      </c>
      <c r="B53" s="15">
        <v>116913720</v>
      </c>
      <c r="C53" s="15">
        <f t="shared" si="0"/>
        <v>107207565</v>
      </c>
      <c r="D53" s="15">
        <v>9706155</v>
      </c>
      <c r="E53" s="16">
        <v>5310</v>
      </c>
      <c r="F53" s="15">
        <v>261</v>
      </c>
    </row>
    <row r="54" spans="1:6" ht="12.75">
      <c r="A54" s="22">
        <f t="shared" si="1"/>
        <v>40194</v>
      </c>
      <c r="B54" s="15">
        <v>121291177</v>
      </c>
      <c r="C54" s="15">
        <f t="shared" si="0"/>
        <v>111217644</v>
      </c>
      <c r="D54" s="15">
        <v>10073533</v>
      </c>
      <c r="E54" s="16">
        <v>5310</v>
      </c>
      <c r="F54" s="15">
        <v>271</v>
      </c>
    </row>
    <row r="55" spans="1:6" ht="12.75">
      <c r="A55" s="22">
        <f t="shared" si="1"/>
        <v>40201</v>
      </c>
      <c r="B55" s="15">
        <v>129194724</v>
      </c>
      <c r="C55" s="15">
        <f t="shared" si="0"/>
        <v>118306868</v>
      </c>
      <c r="D55" s="15">
        <v>10887856</v>
      </c>
      <c r="E55" s="16">
        <v>5310</v>
      </c>
      <c r="F55" s="15">
        <v>293</v>
      </c>
    </row>
    <row r="56" spans="1:6" ht="12.75">
      <c r="A56" s="22">
        <f t="shared" si="1"/>
        <v>40208</v>
      </c>
      <c r="B56" s="15">
        <v>117238081</v>
      </c>
      <c r="C56" s="15">
        <f t="shared" si="0"/>
        <v>107197718</v>
      </c>
      <c r="D56" s="15">
        <v>10040363</v>
      </c>
      <c r="E56" s="16">
        <v>5310</v>
      </c>
      <c r="F56" s="15">
        <v>270</v>
      </c>
    </row>
    <row r="57" spans="1:6" ht="12.75">
      <c r="A57" s="22">
        <f t="shared" si="1"/>
        <v>40215</v>
      </c>
      <c r="B57" s="15">
        <v>131730810</v>
      </c>
      <c r="C57" s="15">
        <f t="shared" si="0"/>
        <v>120814222</v>
      </c>
      <c r="D57" s="15">
        <v>10916588</v>
      </c>
      <c r="E57" s="16">
        <v>5310</v>
      </c>
      <c r="F57" s="15">
        <v>294</v>
      </c>
    </row>
    <row r="58" spans="1:6" ht="12.75">
      <c r="A58" s="22">
        <f t="shared" si="1"/>
        <v>40222</v>
      </c>
      <c r="B58" s="15">
        <v>122604316</v>
      </c>
      <c r="C58" s="15">
        <f t="shared" si="0"/>
        <v>112271260</v>
      </c>
      <c r="D58" s="15">
        <v>10333056</v>
      </c>
      <c r="E58" s="16">
        <v>5310</v>
      </c>
      <c r="F58" s="15">
        <v>278</v>
      </c>
    </row>
    <row r="59" spans="1:6" ht="12.75">
      <c r="A59" s="22">
        <f t="shared" si="1"/>
        <v>40229</v>
      </c>
      <c r="B59" s="15">
        <v>157948789</v>
      </c>
      <c r="C59" s="15">
        <f t="shared" si="0"/>
        <v>144578000</v>
      </c>
      <c r="D59" s="15">
        <v>13370789</v>
      </c>
      <c r="E59" s="16">
        <v>5310</v>
      </c>
      <c r="F59" s="15">
        <v>360</v>
      </c>
    </row>
    <row r="60" spans="1:6" ht="12.75">
      <c r="A60" s="22">
        <f t="shared" si="1"/>
        <v>40236</v>
      </c>
      <c r="B60" s="15">
        <v>116760017</v>
      </c>
      <c r="C60" s="15">
        <f t="shared" si="0"/>
        <v>106696285</v>
      </c>
      <c r="D60" s="15">
        <v>10063732</v>
      </c>
      <c r="E60" s="16">
        <v>5310</v>
      </c>
      <c r="F60" s="15">
        <v>271</v>
      </c>
    </row>
    <row r="61" spans="1:6" ht="12.75">
      <c r="A61" s="22">
        <f t="shared" si="1"/>
        <v>40243</v>
      </c>
      <c r="B61" s="15">
        <v>151475372</v>
      </c>
      <c r="C61" s="15">
        <f t="shared" si="0"/>
        <v>138815005</v>
      </c>
      <c r="D61" s="15">
        <v>12660367</v>
      </c>
      <c r="E61" s="16">
        <v>5310</v>
      </c>
      <c r="F61" s="15">
        <v>341</v>
      </c>
    </row>
    <row r="62" spans="1:6" ht="12.75">
      <c r="A62" s="22">
        <f t="shared" si="1"/>
        <v>40250</v>
      </c>
      <c r="B62" s="15">
        <v>130454078</v>
      </c>
      <c r="C62" s="15">
        <f t="shared" si="0"/>
        <v>119455251</v>
      </c>
      <c r="D62" s="15">
        <v>10998827</v>
      </c>
      <c r="E62" s="16">
        <v>5310</v>
      </c>
      <c r="F62" s="15">
        <v>296</v>
      </c>
    </row>
    <row r="63" spans="1:6" ht="12.75">
      <c r="A63" s="22">
        <f t="shared" si="1"/>
        <v>40257</v>
      </c>
      <c r="B63" s="15">
        <v>146768006</v>
      </c>
      <c r="C63" s="15">
        <f t="shared" si="0"/>
        <v>134373507</v>
      </c>
      <c r="D63" s="15">
        <v>12394499</v>
      </c>
      <c r="E63" s="16">
        <v>5310</v>
      </c>
      <c r="F63" s="15">
        <v>333</v>
      </c>
    </row>
    <row r="64" spans="1:6" ht="12.75">
      <c r="A64" s="22">
        <f t="shared" si="1"/>
        <v>40264</v>
      </c>
      <c r="B64" s="15">
        <v>132041748</v>
      </c>
      <c r="C64" s="15">
        <f t="shared" si="0"/>
        <v>120617525</v>
      </c>
      <c r="D64" s="15">
        <v>11424223</v>
      </c>
      <c r="E64" s="16">
        <v>5310</v>
      </c>
      <c r="F64" s="15">
        <v>307</v>
      </c>
    </row>
    <row r="65" ht="12.75">
      <c r="A65" s="22"/>
    </row>
    <row r="66" spans="1:6" ht="13.5" thickBot="1">
      <c r="A66" s="3" t="s">
        <v>8</v>
      </c>
      <c r="B66" s="17">
        <f>SUM(B13:B64)</f>
        <v>6560056093.449999</v>
      </c>
      <c r="C66" s="17">
        <f>SUM(C13:C64)</f>
        <v>6007416983.86</v>
      </c>
      <c r="D66" s="17">
        <f>SUM(D13:D64)</f>
        <v>552639109.5899999</v>
      </c>
      <c r="E66" s="24">
        <f>SUM(E13:E64)/COUNT(E13:E64)</f>
        <v>5313.89010989011</v>
      </c>
      <c r="F66" s="17">
        <f>+D66/SUM(E13:E64)/7</f>
        <v>285.71146197297566</v>
      </c>
    </row>
    <row r="67" spans="1:4" s="21" customFormat="1" ht="13.5" thickTop="1">
      <c r="A67" s="19"/>
      <c r="B67" s="20"/>
      <c r="C67" s="20"/>
      <c r="D67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">
      <pane ySplit="11" topLeftCell="A59" activePane="bottomLeft" state="frozen"/>
      <selection pane="topLeft" activeCell="A1" sqref="A1"/>
      <selection pane="bottomLeft" activeCell="E61" sqref="E61"/>
    </sheetView>
  </sheetViews>
  <sheetFormatPr defaultColWidth="9.140625" defaultRowHeight="12.75"/>
  <cols>
    <col min="1" max="1" width="15.8515625" style="3" customWidth="1"/>
    <col min="2" max="4" width="15.8515625" style="15" customWidth="1"/>
    <col min="5" max="5" width="15.8515625" style="16" customWidth="1"/>
    <col min="6" max="6" width="15.8515625" style="15" customWidth="1"/>
  </cols>
  <sheetData>
    <row r="1" spans="1:9" ht="18">
      <c r="A1" s="73" t="s">
        <v>15</v>
      </c>
      <c r="B1" s="73"/>
      <c r="C1" s="73"/>
      <c r="D1" s="73"/>
      <c r="E1" s="73"/>
      <c r="F1" s="73"/>
      <c r="G1" s="26"/>
      <c r="H1" s="26"/>
      <c r="I1" s="26"/>
    </row>
    <row r="2" spans="1:9" ht="15">
      <c r="A2" s="74" t="s">
        <v>16</v>
      </c>
      <c r="B2" s="74"/>
      <c r="C2" s="74"/>
      <c r="D2" s="74"/>
      <c r="E2" s="74"/>
      <c r="F2" s="74"/>
      <c r="G2" s="27"/>
      <c r="H2" s="27"/>
      <c r="I2" s="27"/>
    </row>
    <row r="3" spans="1:9" s="1" customFormat="1" ht="15">
      <c r="A3" s="74" t="s">
        <v>17</v>
      </c>
      <c r="B3" s="74"/>
      <c r="C3" s="74"/>
      <c r="D3" s="74"/>
      <c r="E3" s="74"/>
      <c r="F3" s="74"/>
      <c r="G3" s="27"/>
      <c r="H3" s="27"/>
      <c r="I3" s="27"/>
    </row>
    <row r="4" spans="1:9" s="1" customFormat="1" ht="14.25">
      <c r="A4" s="65" t="s">
        <v>18</v>
      </c>
      <c r="B4" s="65"/>
      <c r="C4" s="65"/>
      <c r="D4" s="65"/>
      <c r="E4" s="65"/>
      <c r="F4" s="65"/>
      <c r="G4" s="28"/>
      <c r="H4" s="28"/>
      <c r="I4" s="28"/>
    </row>
    <row r="5" spans="1:9" s="1" customFormat="1" ht="14.25">
      <c r="A5" s="75" t="s">
        <v>19</v>
      </c>
      <c r="B5" s="75"/>
      <c r="C5" s="75"/>
      <c r="D5" s="75"/>
      <c r="E5" s="75"/>
      <c r="F5" s="75"/>
      <c r="G5" s="29"/>
      <c r="H5" s="29"/>
      <c r="I5" s="29"/>
    </row>
    <row r="6" spans="1:9" s="1" customFormat="1" ht="14.25">
      <c r="A6" s="2"/>
      <c r="B6" s="2"/>
      <c r="C6" s="2"/>
      <c r="D6" s="2"/>
      <c r="E6" s="2"/>
      <c r="F6" s="2"/>
      <c r="G6" s="2"/>
      <c r="H6" s="2"/>
      <c r="I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70" t="s">
        <v>9</v>
      </c>
      <c r="B8" s="71"/>
      <c r="C8" s="71"/>
      <c r="D8" s="71"/>
      <c r="E8" s="71"/>
      <c r="F8" s="72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1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39543</v>
      </c>
      <c r="B13" s="15">
        <v>120957530.19</v>
      </c>
      <c r="C13" s="15">
        <f>+B13-D13</f>
        <v>110942615.17999999</v>
      </c>
      <c r="D13" s="15">
        <v>10014915.01</v>
      </c>
      <c r="E13" s="16">
        <v>5347</v>
      </c>
      <c r="F13" s="15">
        <v>267.5710013625798</v>
      </c>
    </row>
    <row r="14" spans="1:6" ht="12.75">
      <c r="A14" s="22">
        <v>39550</v>
      </c>
      <c r="B14" s="15">
        <v>117011012.89</v>
      </c>
      <c r="C14" s="15">
        <f aca="true" t="shared" si="0" ref="C14:C64">+B14-D14</f>
        <v>107184988.56</v>
      </c>
      <c r="D14" s="15">
        <v>9826024.330000002</v>
      </c>
      <c r="E14" s="16">
        <v>5347</v>
      </c>
      <c r="F14" s="15">
        <v>262.52436159127956</v>
      </c>
    </row>
    <row r="15" spans="1:6" ht="12.75">
      <c r="A15" s="22">
        <v>39557</v>
      </c>
      <c r="B15" s="15">
        <v>115154070.33000001</v>
      </c>
      <c r="C15" s="15">
        <f t="shared" si="0"/>
        <v>105781476.21000001</v>
      </c>
      <c r="D15" s="15">
        <v>9372594.120000001</v>
      </c>
      <c r="E15" s="16">
        <v>5347</v>
      </c>
      <c r="F15" s="15">
        <v>250.40995271046518</v>
      </c>
    </row>
    <row r="16" spans="1:6" ht="12.75">
      <c r="A16" s="22">
        <v>39564</v>
      </c>
      <c r="B16" s="15">
        <v>118540930.39000002</v>
      </c>
      <c r="C16" s="15">
        <f t="shared" si="0"/>
        <v>108818563.22000001</v>
      </c>
      <c r="D16" s="15">
        <v>9722367.17</v>
      </c>
      <c r="E16" s="16">
        <v>5347</v>
      </c>
      <c r="F16" s="15">
        <v>259.75492719549015</v>
      </c>
    </row>
    <row r="17" spans="1:6" ht="12.75">
      <c r="A17" s="22">
        <v>39571</v>
      </c>
      <c r="B17" s="15">
        <v>125744845.29000002</v>
      </c>
      <c r="C17" s="15">
        <f t="shared" si="0"/>
        <v>115491459.41000003</v>
      </c>
      <c r="D17" s="15">
        <v>10253385.879999999</v>
      </c>
      <c r="E17" s="16">
        <v>5347</v>
      </c>
      <c r="F17" s="15">
        <v>273.94228753105875</v>
      </c>
    </row>
    <row r="18" spans="1:6" ht="12.75">
      <c r="A18" s="22">
        <v>39578</v>
      </c>
      <c r="B18" s="15">
        <v>118930400.34</v>
      </c>
      <c r="C18" s="15">
        <f t="shared" si="0"/>
        <v>109177478.54</v>
      </c>
      <c r="D18" s="15">
        <v>9752921.8</v>
      </c>
      <c r="E18" s="16">
        <v>5347</v>
      </c>
      <c r="F18" s="15">
        <v>260.5712629244704</v>
      </c>
    </row>
    <row r="19" spans="1:6" ht="12.75">
      <c r="A19" s="22">
        <v>39585</v>
      </c>
      <c r="B19" s="15">
        <v>122673046.56</v>
      </c>
      <c r="C19" s="15">
        <f t="shared" si="0"/>
        <v>113015215.22</v>
      </c>
      <c r="D19" s="15">
        <v>9657831.34</v>
      </c>
      <c r="E19" s="16">
        <v>5347</v>
      </c>
      <c r="F19" s="15">
        <v>258.03070720564267</v>
      </c>
    </row>
    <row r="20" spans="1:6" ht="12.75">
      <c r="A20" s="22">
        <v>39592</v>
      </c>
      <c r="B20" s="15">
        <v>118418796.14999999</v>
      </c>
      <c r="C20" s="15">
        <f t="shared" si="0"/>
        <v>108721787.92999999</v>
      </c>
      <c r="D20" s="15">
        <v>9697008.22</v>
      </c>
      <c r="E20" s="16">
        <v>5347</v>
      </c>
      <c r="F20" s="15">
        <v>259.07740575489595</v>
      </c>
    </row>
    <row r="21" spans="1:6" ht="12.75">
      <c r="A21" s="22">
        <v>39599</v>
      </c>
      <c r="B21" s="15">
        <v>131800216.73999998</v>
      </c>
      <c r="C21" s="15">
        <f t="shared" si="0"/>
        <v>121282226.99999999</v>
      </c>
      <c r="D21" s="15">
        <v>10517989.739999998</v>
      </c>
      <c r="E21" s="16">
        <v>5347</v>
      </c>
      <c r="F21" s="15">
        <v>281.0117753613508</v>
      </c>
    </row>
    <row r="22" spans="1:6" ht="12.75">
      <c r="A22" s="22">
        <v>39606</v>
      </c>
      <c r="B22" s="15">
        <v>117299315.03</v>
      </c>
      <c r="C22" s="15">
        <f t="shared" si="0"/>
        <v>107614877.02</v>
      </c>
      <c r="D22" s="15">
        <v>9684438.010000002</v>
      </c>
      <c r="E22" s="16">
        <v>5347</v>
      </c>
      <c r="F22" s="15">
        <v>258.74156429506536</v>
      </c>
    </row>
    <row r="23" spans="1:6" ht="12.75">
      <c r="A23" s="22">
        <v>39613</v>
      </c>
      <c r="B23" s="15">
        <v>109745013.81000002</v>
      </c>
      <c r="C23" s="15">
        <f t="shared" si="0"/>
        <v>100658763.17000002</v>
      </c>
      <c r="D23" s="15">
        <v>9086250.64</v>
      </c>
      <c r="E23" s="16">
        <v>5347</v>
      </c>
      <c r="F23" s="15">
        <v>242.75964198883221</v>
      </c>
    </row>
    <row r="24" spans="1:6" ht="12.75">
      <c r="A24" s="22">
        <v>39620</v>
      </c>
      <c r="B24" s="15">
        <v>118251208.48999998</v>
      </c>
      <c r="C24" s="15">
        <f t="shared" si="0"/>
        <v>108984689.33999997</v>
      </c>
      <c r="D24" s="15">
        <v>9266519.149999999</v>
      </c>
      <c r="E24" s="16">
        <v>5334.142857142857</v>
      </c>
      <c r="F24" s="15">
        <v>248.17266530972972</v>
      </c>
    </row>
    <row r="25" spans="1:6" ht="12.75">
      <c r="A25" s="22">
        <v>39627</v>
      </c>
      <c r="B25" s="15">
        <v>119218106.1</v>
      </c>
      <c r="C25" s="15">
        <f t="shared" si="0"/>
        <v>109427157.52</v>
      </c>
      <c r="D25" s="15">
        <v>9790948.58</v>
      </c>
      <c r="E25" s="16">
        <v>5329</v>
      </c>
      <c r="F25" s="15">
        <v>262.47080878213546</v>
      </c>
    </row>
    <row r="26" spans="1:6" ht="12.75">
      <c r="A26" s="22">
        <v>39634</v>
      </c>
      <c r="B26" s="15">
        <v>139513607.74</v>
      </c>
      <c r="C26" s="15">
        <f t="shared" si="0"/>
        <v>128161029.88000001</v>
      </c>
      <c r="D26" s="15">
        <v>11352577.860000001</v>
      </c>
      <c r="E26" s="16">
        <v>5329</v>
      </c>
      <c r="F26" s="15">
        <v>304.33417848430423</v>
      </c>
    </row>
    <row r="27" spans="1:6" ht="12.75">
      <c r="A27" s="22">
        <v>39641</v>
      </c>
      <c r="B27" s="15">
        <v>125212820.41</v>
      </c>
      <c r="C27" s="15">
        <f t="shared" si="0"/>
        <v>114994515.3</v>
      </c>
      <c r="D27" s="15">
        <v>10218305.11</v>
      </c>
      <c r="E27" s="16">
        <v>5329</v>
      </c>
      <c r="F27" s="15">
        <v>273.9271669838887</v>
      </c>
    </row>
    <row r="28" spans="1:6" ht="12.75">
      <c r="A28" s="22">
        <v>39648</v>
      </c>
      <c r="B28" s="15">
        <v>119093197.86</v>
      </c>
      <c r="C28" s="15">
        <f t="shared" si="0"/>
        <v>109410560.81</v>
      </c>
      <c r="D28" s="15">
        <v>9682637.05</v>
      </c>
      <c r="E28" s="16">
        <v>5329</v>
      </c>
      <c r="F28" s="15">
        <v>259.5672479425248</v>
      </c>
    </row>
    <row r="29" spans="1:6" ht="12.75">
      <c r="A29" s="22">
        <v>39655</v>
      </c>
      <c r="B29" s="15">
        <v>121378072.61999999</v>
      </c>
      <c r="C29" s="15">
        <f t="shared" si="0"/>
        <v>111461482.75999999</v>
      </c>
      <c r="D29" s="15">
        <v>9916589.86</v>
      </c>
      <c r="E29" s="16">
        <v>5332.571428571428</v>
      </c>
      <c r="F29" s="15">
        <v>265.6608942348907</v>
      </c>
    </row>
    <row r="30" spans="1:6" ht="12.75">
      <c r="A30" s="22">
        <v>39662</v>
      </c>
      <c r="B30" s="15">
        <v>122533948.51000002</v>
      </c>
      <c r="C30" s="15">
        <f t="shared" si="0"/>
        <v>112521650.39000002</v>
      </c>
      <c r="D30" s="15">
        <v>10012298.120000001</v>
      </c>
      <c r="E30" s="16">
        <v>5334</v>
      </c>
      <c r="F30" s="15">
        <v>268.1530376560073</v>
      </c>
    </row>
    <row r="31" spans="1:6" ht="12.75">
      <c r="A31" s="22">
        <v>39669</v>
      </c>
      <c r="B31" s="15">
        <v>126838946.11999999</v>
      </c>
      <c r="C31" s="15">
        <f t="shared" si="0"/>
        <v>116692294.49999999</v>
      </c>
      <c r="D31" s="15">
        <v>10146651.620000001</v>
      </c>
      <c r="E31" s="16">
        <v>5334</v>
      </c>
      <c r="F31" s="15">
        <v>271.7513423322085</v>
      </c>
    </row>
    <row r="32" spans="1:6" ht="12.75">
      <c r="A32" s="22">
        <v>39676</v>
      </c>
      <c r="B32" s="15">
        <v>115902348.55</v>
      </c>
      <c r="C32" s="15">
        <f t="shared" si="0"/>
        <v>106315519.11</v>
      </c>
      <c r="D32" s="15">
        <v>9586829.44</v>
      </c>
      <c r="E32" s="16">
        <v>5334</v>
      </c>
      <c r="F32" s="15">
        <v>256.75797953827197</v>
      </c>
    </row>
    <row r="33" spans="1:6" ht="12.75">
      <c r="A33" s="22">
        <v>39683</v>
      </c>
      <c r="B33" s="15">
        <v>116279217.25</v>
      </c>
      <c r="C33" s="15">
        <f t="shared" si="0"/>
        <v>107075388.26</v>
      </c>
      <c r="D33" s="15">
        <v>9203828.99</v>
      </c>
      <c r="E33" s="16">
        <v>5334</v>
      </c>
      <c r="F33" s="15">
        <v>246.50032112057423</v>
      </c>
    </row>
    <row r="34" spans="1:6" ht="12.75">
      <c r="A34" s="22">
        <v>39690</v>
      </c>
      <c r="B34" s="15">
        <v>127258728.68</v>
      </c>
      <c r="C34" s="15">
        <f t="shared" si="0"/>
        <v>117074475.64000002</v>
      </c>
      <c r="D34" s="15">
        <v>10184253.04</v>
      </c>
      <c r="E34" s="16">
        <v>5334</v>
      </c>
      <c r="F34" s="15">
        <v>272.75839734318924</v>
      </c>
    </row>
    <row r="35" spans="1:6" ht="12.75">
      <c r="A35" s="22">
        <v>39697</v>
      </c>
      <c r="B35" s="15">
        <v>120444821.93</v>
      </c>
      <c r="C35" s="15">
        <f t="shared" si="0"/>
        <v>110656229.69000001</v>
      </c>
      <c r="D35" s="15">
        <v>9788592.24</v>
      </c>
      <c r="E35" s="16">
        <v>5334</v>
      </c>
      <c r="F35" s="15">
        <v>262.16166479190105</v>
      </c>
    </row>
    <row r="36" spans="1:6" ht="12.75">
      <c r="A36" s="22">
        <v>39704</v>
      </c>
      <c r="B36" s="15">
        <v>114707995.65</v>
      </c>
      <c r="C36" s="15">
        <f t="shared" si="0"/>
        <v>105370204.83000001</v>
      </c>
      <c r="D36" s="15">
        <v>9337790.82</v>
      </c>
      <c r="E36" s="16">
        <v>5334</v>
      </c>
      <c r="F36" s="15">
        <v>250.0881359472923</v>
      </c>
    </row>
    <row r="37" spans="1:6" ht="12.75">
      <c r="A37" s="22">
        <v>39711</v>
      </c>
      <c r="B37" s="15">
        <v>113024760.71</v>
      </c>
      <c r="C37" s="15">
        <f t="shared" si="0"/>
        <v>103743142.96</v>
      </c>
      <c r="D37" s="15">
        <v>9281617.75</v>
      </c>
      <c r="E37" s="16">
        <v>5334</v>
      </c>
      <c r="F37" s="15">
        <v>248.58368819968933</v>
      </c>
    </row>
    <row r="38" spans="1:6" ht="12.75">
      <c r="A38" s="22">
        <v>39718</v>
      </c>
      <c r="B38" s="15">
        <v>105964452.03</v>
      </c>
      <c r="C38" s="15">
        <f t="shared" si="0"/>
        <v>97259977.11</v>
      </c>
      <c r="D38" s="15">
        <v>8704474.920000002</v>
      </c>
      <c r="E38" s="16">
        <v>5334</v>
      </c>
      <c r="F38" s="15">
        <v>233.12643740960957</v>
      </c>
    </row>
    <row r="39" spans="1:6" ht="12.75">
      <c r="A39" s="22">
        <v>39725</v>
      </c>
      <c r="B39" s="15">
        <v>118088156.89</v>
      </c>
      <c r="C39" s="15">
        <f t="shared" si="0"/>
        <v>108064277.7</v>
      </c>
      <c r="D39" s="15">
        <v>10023879.190000001</v>
      </c>
      <c r="E39" s="16">
        <v>5334</v>
      </c>
      <c r="F39" s="15">
        <v>268.46320611709257</v>
      </c>
    </row>
    <row r="40" spans="1:6" ht="12.75">
      <c r="A40" s="22">
        <v>39732</v>
      </c>
      <c r="B40" s="15">
        <v>109536599.55</v>
      </c>
      <c r="C40" s="15">
        <f t="shared" si="0"/>
        <v>100703494.42999999</v>
      </c>
      <c r="D40" s="15">
        <v>8833105.12</v>
      </c>
      <c r="E40" s="16">
        <v>5334</v>
      </c>
      <c r="F40" s="15">
        <v>236.57145856767903</v>
      </c>
    </row>
    <row r="41" spans="1:6" ht="12.75">
      <c r="A41" s="22">
        <v>39739</v>
      </c>
      <c r="B41" s="15">
        <v>117783058.6</v>
      </c>
      <c r="C41" s="15">
        <f t="shared" si="0"/>
        <v>108116905.66999999</v>
      </c>
      <c r="D41" s="15">
        <v>9666152.93</v>
      </c>
      <c r="E41" s="16">
        <v>5334</v>
      </c>
      <c r="F41" s="15">
        <v>258.88245031871014</v>
      </c>
    </row>
    <row r="42" spans="1:6" ht="12.75">
      <c r="A42" s="22">
        <v>39746</v>
      </c>
      <c r="B42" s="15">
        <v>100740265.62</v>
      </c>
      <c r="C42" s="15">
        <f t="shared" si="0"/>
        <v>92502644.22</v>
      </c>
      <c r="D42" s="15">
        <v>8237621.4</v>
      </c>
      <c r="E42" s="16">
        <v>5334</v>
      </c>
      <c r="F42" s="15">
        <v>220.62299533986825</v>
      </c>
    </row>
    <row r="43" spans="1:6" ht="12.75">
      <c r="A43" s="22">
        <v>39753</v>
      </c>
      <c r="B43" s="15">
        <v>110365446.72</v>
      </c>
      <c r="C43" s="15">
        <f t="shared" si="0"/>
        <v>101436658.13</v>
      </c>
      <c r="D43" s="15">
        <v>8928788.590000002</v>
      </c>
      <c r="E43" s="16">
        <v>5334</v>
      </c>
      <c r="F43" s="15">
        <v>239.13408832824473</v>
      </c>
    </row>
    <row r="44" spans="1:6" ht="12.75">
      <c r="A44" s="22">
        <v>39760</v>
      </c>
      <c r="B44" s="15">
        <v>109903310.37</v>
      </c>
      <c r="C44" s="15">
        <f t="shared" si="0"/>
        <v>100750939.52000001</v>
      </c>
      <c r="D44" s="15">
        <v>9152370.85</v>
      </c>
      <c r="E44" s="16">
        <v>5334</v>
      </c>
      <c r="F44" s="15">
        <v>245.12215035620545</v>
      </c>
    </row>
    <row r="45" spans="1:6" ht="12.75">
      <c r="A45" s="22">
        <v>39767</v>
      </c>
      <c r="B45" s="15">
        <v>112997862.25000003</v>
      </c>
      <c r="C45" s="15">
        <f t="shared" si="0"/>
        <v>103814439.56000003</v>
      </c>
      <c r="D45" s="15">
        <v>9183422.69</v>
      </c>
      <c r="E45" s="16">
        <v>5334</v>
      </c>
      <c r="F45" s="15">
        <v>245.95379211527128</v>
      </c>
    </row>
    <row r="46" spans="1:6" ht="12.75">
      <c r="A46" s="22">
        <v>39774</v>
      </c>
      <c r="B46" s="15">
        <v>96552294.03999999</v>
      </c>
      <c r="C46" s="15">
        <f t="shared" si="0"/>
        <v>88592657.63999999</v>
      </c>
      <c r="D46" s="15">
        <v>7959636.400000001</v>
      </c>
      <c r="E46" s="16">
        <v>5334</v>
      </c>
      <c r="F46" s="15">
        <v>213.17789919117257</v>
      </c>
    </row>
    <row r="47" spans="1:6" ht="12.75">
      <c r="A47" s="22">
        <v>39781</v>
      </c>
      <c r="B47" s="15">
        <v>109499502.09000002</v>
      </c>
      <c r="C47" s="15">
        <f t="shared" si="0"/>
        <v>100352931.57000002</v>
      </c>
      <c r="D47" s="15">
        <v>9146570.52</v>
      </c>
      <c r="E47" s="16">
        <v>5334</v>
      </c>
      <c r="F47" s="15">
        <v>244.96680379238308</v>
      </c>
    </row>
    <row r="48" spans="1:6" ht="12.75">
      <c r="A48" s="22">
        <v>39788</v>
      </c>
      <c r="B48" s="15">
        <v>98836455.64</v>
      </c>
      <c r="C48" s="15">
        <f t="shared" si="0"/>
        <v>90797323.95</v>
      </c>
      <c r="D48" s="15">
        <v>8039131.69</v>
      </c>
      <c r="E48" s="16">
        <v>5334</v>
      </c>
      <c r="F48" s="15">
        <v>215.30697118217367</v>
      </c>
    </row>
    <row r="49" spans="1:6" ht="12.75">
      <c r="A49" s="22">
        <v>39795</v>
      </c>
      <c r="B49" s="15">
        <v>93457345.54000002</v>
      </c>
      <c r="C49" s="15">
        <f t="shared" si="0"/>
        <v>85578566.87000002</v>
      </c>
      <c r="D49" s="15">
        <v>7878778.670000001</v>
      </c>
      <c r="E49" s="16">
        <v>5334</v>
      </c>
      <c r="F49" s="15">
        <v>211.01233783277092</v>
      </c>
    </row>
    <row r="50" spans="1:6" ht="12.75">
      <c r="A50" s="22">
        <v>39802</v>
      </c>
      <c r="B50" s="15">
        <v>80993891.81</v>
      </c>
      <c r="C50" s="15">
        <f t="shared" si="0"/>
        <v>74314107.47</v>
      </c>
      <c r="D50" s="15">
        <v>6679784.34</v>
      </c>
      <c r="E50" s="16">
        <v>5334</v>
      </c>
      <c r="F50" s="15">
        <v>178.90043226739513</v>
      </c>
    </row>
    <row r="51" spans="1:6" ht="12.75">
      <c r="A51" s="22">
        <v>39809</v>
      </c>
      <c r="B51" s="15">
        <v>104682872.77000001</v>
      </c>
      <c r="C51" s="15">
        <f t="shared" si="0"/>
        <v>96000654.82000001</v>
      </c>
      <c r="D51" s="15">
        <v>8682217.95</v>
      </c>
      <c r="E51" s="16">
        <v>5334</v>
      </c>
      <c r="F51" s="15">
        <v>232.5303430821147</v>
      </c>
    </row>
    <row r="52" spans="1:6" ht="12.75">
      <c r="A52" s="22">
        <v>39816</v>
      </c>
      <c r="B52" s="15">
        <v>133939259.50999999</v>
      </c>
      <c r="C52" s="15">
        <f t="shared" si="0"/>
        <v>122841968.53999999</v>
      </c>
      <c r="D52" s="15">
        <v>11097290.97</v>
      </c>
      <c r="E52" s="16">
        <v>5334</v>
      </c>
      <c r="F52" s="15">
        <v>297.2117138036317</v>
      </c>
    </row>
    <row r="53" spans="1:6" ht="12.75">
      <c r="A53" s="22">
        <v>39823</v>
      </c>
      <c r="B53" s="15">
        <v>93681383.16000001</v>
      </c>
      <c r="C53" s="15">
        <f t="shared" si="0"/>
        <v>86020005.72000001</v>
      </c>
      <c r="D53" s="15">
        <v>7661377.4399999995</v>
      </c>
      <c r="E53" s="16">
        <v>5334</v>
      </c>
      <c r="F53" s="15">
        <v>205.18981841555518</v>
      </c>
    </row>
    <row r="54" spans="1:6" ht="12.75">
      <c r="A54" s="22">
        <v>39830</v>
      </c>
      <c r="B54" s="15">
        <v>95655958.99</v>
      </c>
      <c r="C54" s="15">
        <f t="shared" si="0"/>
        <v>87955505.33999999</v>
      </c>
      <c r="D54" s="15">
        <v>7700453.65</v>
      </c>
      <c r="E54" s="16">
        <v>5334</v>
      </c>
      <c r="F54" s="15">
        <v>206.2363717928116</v>
      </c>
    </row>
    <row r="55" spans="1:6" ht="12.75">
      <c r="A55" s="22">
        <v>39837</v>
      </c>
      <c r="B55" s="15">
        <v>107105373.29</v>
      </c>
      <c r="C55" s="15">
        <f t="shared" si="0"/>
        <v>98282492.93</v>
      </c>
      <c r="D55" s="15">
        <v>8822880.360000001</v>
      </c>
      <c r="E55" s="16">
        <v>5334</v>
      </c>
      <c r="F55" s="15">
        <v>236.29761529808778</v>
      </c>
    </row>
    <row r="56" spans="1:6" ht="12.75">
      <c r="A56" s="22">
        <v>39844</v>
      </c>
      <c r="B56" s="15">
        <v>110147699.25</v>
      </c>
      <c r="C56" s="15">
        <f t="shared" si="0"/>
        <v>101113532.83</v>
      </c>
      <c r="D56" s="15">
        <v>9034166.42</v>
      </c>
      <c r="E56" s="16">
        <v>5334</v>
      </c>
      <c r="F56" s="15">
        <v>241.9563559912154</v>
      </c>
    </row>
    <row r="57" spans="1:6" ht="12.75">
      <c r="A57" s="22">
        <v>39851</v>
      </c>
      <c r="B57" s="15">
        <v>118882367.83000001</v>
      </c>
      <c r="C57" s="15">
        <f t="shared" si="0"/>
        <v>108867785.79000002</v>
      </c>
      <c r="D57" s="15">
        <v>10014582.04</v>
      </c>
      <c r="E57" s="16">
        <v>5334</v>
      </c>
      <c r="F57" s="15">
        <v>268.21420643848086</v>
      </c>
    </row>
    <row r="58" spans="1:6" ht="12.75">
      <c r="A58" s="22">
        <v>39858</v>
      </c>
      <c r="B58" s="15">
        <v>127293434.64999999</v>
      </c>
      <c r="C58" s="15">
        <f t="shared" si="0"/>
        <v>116844552.85</v>
      </c>
      <c r="D58" s="15">
        <v>10448881.8</v>
      </c>
      <c r="E58" s="16">
        <v>5334</v>
      </c>
      <c r="F58" s="15">
        <v>279.84578177727786</v>
      </c>
    </row>
    <row r="59" spans="1:6" ht="12.75">
      <c r="A59" s="22">
        <v>39865</v>
      </c>
      <c r="B59" s="15">
        <v>140981875.53</v>
      </c>
      <c r="C59" s="15">
        <f t="shared" si="0"/>
        <v>129043799.65</v>
      </c>
      <c r="D59" s="15">
        <v>11938075.879999999</v>
      </c>
      <c r="E59" s="16">
        <v>5334</v>
      </c>
      <c r="F59" s="15">
        <v>319.72992340243184</v>
      </c>
    </row>
    <row r="60" spans="1:6" ht="12.75">
      <c r="A60" s="22">
        <v>39872</v>
      </c>
      <c r="B60" s="15">
        <v>129323530.62999998</v>
      </c>
      <c r="C60" s="15">
        <f t="shared" si="0"/>
        <v>118438433.81999998</v>
      </c>
      <c r="D60" s="15">
        <v>10885096.809999999</v>
      </c>
      <c r="E60" s="16">
        <v>5334</v>
      </c>
      <c r="F60" s="15">
        <v>291.5286520434945</v>
      </c>
    </row>
    <row r="61" spans="1:6" ht="12.75">
      <c r="A61" s="22">
        <v>39879</v>
      </c>
      <c r="B61" s="15">
        <v>125418576.72</v>
      </c>
      <c r="C61" s="15">
        <f t="shared" si="0"/>
        <v>115064104.23</v>
      </c>
      <c r="D61" s="15">
        <v>10354472.489999998</v>
      </c>
      <c r="E61" s="16">
        <v>5334</v>
      </c>
      <c r="F61" s="15">
        <v>277.31727703679894</v>
      </c>
    </row>
    <row r="62" spans="1:6" ht="12.75">
      <c r="A62" s="22">
        <v>39886</v>
      </c>
      <c r="B62" s="15">
        <v>131635013.19</v>
      </c>
      <c r="C62" s="15">
        <f t="shared" si="0"/>
        <v>120868919.3</v>
      </c>
      <c r="D62" s="15">
        <v>10766093.89</v>
      </c>
      <c r="E62" s="16">
        <v>5334</v>
      </c>
      <c r="F62" s="15">
        <v>288.341472226686</v>
      </c>
    </row>
    <row r="63" spans="1:6" ht="12.75">
      <c r="A63" s="22">
        <v>39893</v>
      </c>
      <c r="B63" s="15">
        <v>133855018.19999999</v>
      </c>
      <c r="C63" s="15">
        <f t="shared" si="0"/>
        <v>122676848.63999999</v>
      </c>
      <c r="D63" s="15">
        <v>11178169.56</v>
      </c>
      <c r="E63" s="16">
        <v>5334</v>
      </c>
      <c r="F63" s="15">
        <v>299.3778338421983</v>
      </c>
    </row>
    <row r="64" spans="1:6" ht="12.75">
      <c r="A64" s="22">
        <v>39900</v>
      </c>
      <c r="B64" s="15">
        <v>127476657.6</v>
      </c>
      <c r="C64" s="15">
        <f t="shared" si="0"/>
        <v>116770356.13</v>
      </c>
      <c r="D64" s="15">
        <v>10706301.47</v>
      </c>
      <c r="E64" s="16">
        <v>5334</v>
      </c>
      <c r="F64" s="15">
        <v>286.74008972092776</v>
      </c>
    </row>
    <row r="65" ht="12.75">
      <c r="A65" s="22"/>
    </row>
    <row r="66" spans="1:6" ht="13.5" thickBot="1">
      <c r="A66" s="3" t="s">
        <v>8</v>
      </c>
      <c r="B66" s="17">
        <f>SUM(B13:B64)</f>
        <v>6060730620.809999</v>
      </c>
      <c r="C66" s="17">
        <f>SUM(C13:C64)</f>
        <v>5563651676.88</v>
      </c>
      <c r="D66" s="17">
        <f>SUM(D13:D64)</f>
        <v>497078943.93</v>
      </c>
      <c r="E66" s="24">
        <f>SUM(E13:E64)/COUNT(E13:E64)</f>
        <v>5336.34065934066</v>
      </c>
      <c r="F66" s="17">
        <f>+D66/SUM(E13:E64)/7</f>
        <v>255.90598154989524</v>
      </c>
    </row>
    <row r="67" spans="2:4" ht="10.5" customHeight="1" thickTop="1">
      <c r="B67" s="18"/>
      <c r="C67" s="18"/>
      <c r="D67" s="18"/>
    </row>
    <row r="68" spans="1:4" s="21" customFormat="1" ht="12.75">
      <c r="A68" s="19"/>
      <c r="B68" s="20"/>
      <c r="C68" s="20"/>
      <c r="D68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">
      <pane ySplit="11" topLeftCell="A61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16.00390625" style="3" customWidth="1"/>
    <col min="2" max="4" width="16.00390625" style="15" customWidth="1"/>
    <col min="5" max="5" width="16.00390625" style="16" customWidth="1"/>
    <col min="6" max="6" width="16.00390625" style="15" customWidth="1"/>
  </cols>
  <sheetData>
    <row r="1" spans="1:9" ht="18">
      <c r="A1" s="73" t="s">
        <v>15</v>
      </c>
      <c r="B1" s="73"/>
      <c r="C1" s="73"/>
      <c r="D1" s="73"/>
      <c r="E1" s="73"/>
      <c r="F1" s="73"/>
      <c r="G1" s="26"/>
      <c r="H1" s="26"/>
      <c r="I1" s="26"/>
    </row>
    <row r="2" spans="1:9" ht="15">
      <c r="A2" s="74" t="s">
        <v>16</v>
      </c>
      <c r="B2" s="74"/>
      <c r="C2" s="74"/>
      <c r="D2" s="74"/>
      <c r="E2" s="74"/>
      <c r="F2" s="74"/>
      <c r="G2" s="27"/>
      <c r="H2" s="27"/>
      <c r="I2" s="27"/>
    </row>
    <row r="3" spans="1:9" s="1" customFormat="1" ht="15">
      <c r="A3" s="74" t="s">
        <v>17</v>
      </c>
      <c r="B3" s="74"/>
      <c r="C3" s="74"/>
      <c r="D3" s="74"/>
      <c r="E3" s="74"/>
      <c r="F3" s="74"/>
      <c r="G3" s="27"/>
      <c r="H3" s="27"/>
      <c r="I3" s="27"/>
    </row>
    <row r="4" spans="1:9" s="1" customFormat="1" ht="14.25">
      <c r="A4" s="65" t="s">
        <v>18</v>
      </c>
      <c r="B4" s="65"/>
      <c r="C4" s="65"/>
      <c r="D4" s="65"/>
      <c r="E4" s="65"/>
      <c r="F4" s="65"/>
      <c r="G4" s="28"/>
      <c r="H4" s="28"/>
      <c r="I4" s="28"/>
    </row>
    <row r="5" spans="1:9" s="1" customFormat="1" ht="14.25">
      <c r="A5" s="75" t="s">
        <v>19</v>
      </c>
      <c r="B5" s="75"/>
      <c r="C5" s="75"/>
      <c r="D5" s="75"/>
      <c r="E5" s="75"/>
      <c r="F5" s="75"/>
      <c r="G5" s="29"/>
      <c r="H5" s="29"/>
      <c r="I5" s="29"/>
    </row>
    <row r="6" spans="1:9" s="1" customFormat="1" ht="14.25">
      <c r="A6" s="2"/>
      <c r="B6" s="2"/>
      <c r="C6" s="2"/>
      <c r="D6" s="2"/>
      <c r="E6" s="2"/>
      <c r="F6" s="2"/>
      <c r="G6" s="2"/>
      <c r="H6" s="2"/>
      <c r="I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70" t="s">
        <v>14</v>
      </c>
      <c r="B8" s="71"/>
      <c r="C8" s="71"/>
      <c r="D8" s="71"/>
      <c r="E8" s="71"/>
      <c r="F8" s="72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1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39179</v>
      </c>
      <c r="B13" s="15">
        <v>96467625.39</v>
      </c>
      <c r="C13" s="15">
        <f>+B13-D13</f>
        <v>88834234.93</v>
      </c>
      <c r="D13" s="15">
        <v>7633390.46</v>
      </c>
      <c r="E13" s="16">
        <v>5478</v>
      </c>
      <c r="F13" s="15">
        <v>199.0661466645804</v>
      </c>
    </row>
    <row r="14" spans="1:6" ht="12.75">
      <c r="A14" s="22">
        <v>39186</v>
      </c>
      <c r="B14" s="15">
        <v>96046663.39</v>
      </c>
      <c r="C14" s="15">
        <f aca="true" t="shared" si="0" ref="C14:C64">+B14-D14</f>
        <v>88182295.39</v>
      </c>
      <c r="D14" s="15">
        <v>7864368</v>
      </c>
      <c r="E14" s="16">
        <v>5478</v>
      </c>
      <c r="F14" s="15">
        <v>205.08965733062118</v>
      </c>
    </row>
    <row r="15" spans="1:6" ht="12.75">
      <c r="A15" s="22">
        <v>39193</v>
      </c>
      <c r="B15" s="15">
        <v>84553726.75</v>
      </c>
      <c r="C15" s="15">
        <f t="shared" si="0"/>
        <v>77519097.5</v>
      </c>
      <c r="D15" s="15">
        <v>7034629.25</v>
      </c>
      <c r="E15" s="16">
        <v>5478</v>
      </c>
      <c r="F15" s="15">
        <v>183.45144865174984</v>
      </c>
    </row>
    <row r="16" spans="1:6" ht="12.75">
      <c r="A16" s="22">
        <v>39200</v>
      </c>
      <c r="B16" s="15">
        <v>86882270.42</v>
      </c>
      <c r="C16" s="15">
        <f t="shared" si="0"/>
        <v>79987361.82000001</v>
      </c>
      <c r="D16" s="15">
        <v>6894908.600000001</v>
      </c>
      <c r="E16" s="16">
        <v>5478</v>
      </c>
      <c r="F16" s="15">
        <v>179.8077661294529</v>
      </c>
    </row>
    <row r="17" spans="1:6" ht="12.75">
      <c r="A17" s="22">
        <v>39207</v>
      </c>
      <c r="B17" s="15">
        <v>91489335.33</v>
      </c>
      <c r="C17" s="15">
        <f t="shared" si="0"/>
        <v>83992833.77</v>
      </c>
      <c r="D17" s="15">
        <v>7496501.5600000005</v>
      </c>
      <c r="E17" s="16">
        <v>5478</v>
      </c>
      <c r="F17" s="15">
        <v>195.49631147968498</v>
      </c>
    </row>
    <row r="18" spans="1:6" ht="12.75">
      <c r="A18" s="22">
        <v>39214</v>
      </c>
      <c r="B18" s="15">
        <v>88135323.99</v>
      </c>
      <c r="C18" s="15">
        <f t="shared" si="0"/>
        <v>80884184.44</v>
      </c>
      <c r="D18" s="15">
        <v>7251139.55</v>
      </c>
      <c r="E18" s="16">
        <v>5478</v>
      </c>
      <c r="F18" s="15">
        <v>189.09767772388253</v>
      </c>
    </row>
    <row r="19" spans="1:6" ht="12.75">
      <c r="A19" s="22">
        <v>39221</v>
      </c>
      <c r="B19" s="15">
        <v>90227485.35999998</v>
      </c>
      <c r="C19" s="15">
        <f t="shared" si="0"/>
        <v>82833822.18999998</v>
      </c>
      <c r="D19" s="15">
        <v>7393663.170000001</v>
      </c>
      <c r="E19" s="16">
        <v>5478</v>
      </c>
      <c r="F19" s="15">
        <v>192.81445704897516</v>
      </c>
    </row>
    <row r="20" spans="1:6" ht="12.75">
      <c r="A20" s="22">
        <v>39228</v>
      </c>
      <c r="B20" s="15">
        <v>85681923.14</v>
      </c>
      <c r="C20" s="15">
        <f t="shared" si="0"/>
        <v>78576653.98</v>
      </c>
      <c r="D20" s="15">
        <v>7105269.16</v>
      </c>
      <c r="E20" s="16">
        <v>5478</v>
      </c>
      <c r="F20" s="15">
        <v>185.29362019506598</v>
      </c>
    </row>
    <row r="21" spans="1:6" ht="12.75">
      <c r="A21" s="22">
        <v>39235</v>
      </c>
      <c r="B21" s="15">
        <v>97525157.99</v>
      </c>
      <c r="C21" s="15">
        <f t="shared" si="0"/>
        <v>89492883.47999999</v>
      </c>
      <c r="D21" s="15">
        <v>8032274.510000001</v>
      </c>
      <c r="E21" s="16">
        <v>5478</v>
      </c>
      <c r="F21" s="15">
        <v>209.46838027434416</v>
      </c>
    </row>
    <row r="22" spans="1:6" ht="12.75">
      <c r="A22" s="22">
        <v>39242</v>
      </c>
      <c r="B22" s="15">
        <v>91455892.78000002</v>
      </c>
      <c r="C22" s="15">
        <f t="shared" si="0"/>
        <v>84270266.70000002</v>
      </c>
      <c r="D22" s="15">
        <v>7185626.08</v>
      </c>
      <c r="E22" s="16">
        <v>5478</v>
      </c>
      <c r="F22" s="15">
        <v>187.38919522244822</v>
      </c>
    </row>
    <row r="23" spans="1:6" ht="12.75">
      <c r="A23" s="22">
        <v>39249</v>
      </c>
      <c r="B23" s="15">
        <v>92683543.93</v>
      </c>
      <c r="C23" s="15">
        <f t="shared" si="0"/>
        <v>85190328.75</v>
      </c>
      <c r="D23" s="15">
        <v>7493215.18</v>
      </c>
      <c r="E23" s="16">
        <v>5478</v>
      </c>
      <c r="F23" s="15">
        <v>195.4106081468732</v>
      </c>
    </row>
    <row r="24" spans="1:6" ht="12.75">
      <c r="A24" s="22">
        <v>39256</v>
      </c>
      <c r="B24" s="15">
        <v>91008577.75999999</v>
      </c>
      <c r="C24" s="15">
        <f t="shared" si="0"/>
        <v>83612825.02</v>
      </c>
      <c r="D24" s="15">
        <v>7395752.74</v>
      </c>
      <c r="E24" s="16">
        <v>5478</v>
      </c>
      <c r="F24" s="15">
        <v>192.86894956449174</v>
      </c>
    </row>
    <row r="25" spans="1:6" ht="12.75">
      <c r="A25" s="22">
        <v>39263</v>
      </c>
      <c r="B25" s="15">
        <v>93240576.00999999</v>
      </c>
      <c r="C25" s="15">
        <f t="shared" si="0"/>
        <v>85653798.64999999</v>
      </c>
      <c r="D25" s="15">
        <v>7586777.36</v>
      </c>
      <c r="E25" s="16">
        <v>5478</v>
      </c>
      <c r="F25" s="15">
        <v>197.85055442549418</v>
      </c>
    </row>
    <row r="26" spans="1:6" ht="12.75">
      <c r="A26" s="22">
        <v>39270</v>
      </c>
      <c r="B26" s="15">
        <v>120512605.97000001</v>
      </c>
      <c r="C26" s="15">
        <f t="shared" si="0"/>
        <v>110747727.92000002</v>
      </c>
      <c r="D26" s="15">
        <v>9764878.05</v>
      </c>
      <c r="E26" s="16">
        <v>5478</v>
      </c>
      <c r="F26" s="15">
        <v>254.6518033171648</v>
      </c>
    </row>
    <row r="27" spans="1:6" ht="12.75">
      <c r="A27" s="22">
        <v>39277</v>
      </c>
      <c r="B27" s="15">
        <v>98463627.99</v>
      </c>
      <c r="C27" s="15">
        <f t="shared" si="0"/>
        <v>90646174.28</v>
      </c>
      <c r="D27" s="15">
        <v>7817453.71</v>
      </c>
      <c r="E27" s="16">
        <v>5478</v>
      </c>
      <c r="F27" s="15">
        <v>203.86621055651176</v>
      </c>
    </row>
    <row r="28" spans="1:6" ht="12.75">
      <c r="A28" s="22">
        <v>39284</v>
      </c>
      <c r="B28" s="15">
        <v>98520611.34</v>
      </c>
      <c r="C28" s="15">
        <f t="shared" si="0"/>
        <v>90403210.69</v>
      </c>
      <c r="D28" s="15">
        <v>8117400.65</v>
      </c>
      <c r="E28" s="16">
        <v>5478</v>
      </c>
      <c r="F28" s="15">
        <v>211.68832863923225</v>
      </c>
    </row>
    <row r="29" spans="1:6" ht="12.75">
      <c r="A29" s="22">
        <v>39291</v>
      </c>
      <c r="B29" s="15">
        <v>96190728.75</v>
      </c>
      <c r="C29" s="15">
        <f t="shared" si="0"/>
        <v>88463359.67</v>
      </c>
      <c r="D29" s="15">
        <v>7727369.08</v>
      </c>
      <c r="E29" s="16">
        <v>5454.285714285715</v>
      </c>
      <c r="F29" s="15">
        <v>202.39311367207964</v>
      </c>
    </row>
    <row r="30" spans="1:6" ht="12.75">
      <c r="A30" s="22">
        <v>39298</v>
      </c>
      <c r="B30" s="15">
        <v>100901568.89999999</v>
      </c>
      <c r="C30" s="15">
        <f t="shared" si="0"/>
        <v>92636568.22999999</v>
      </c>
      <c r="D30" s="15">
        <v>8265000.67</v>
      </c>
      <c r="E30" s="16">
        <v>5478</v>
      </c>
      <c r="F30" s="15">
        <v>215.5374920461065</v>
      </c>
    </row>
    <row r="31" spans="1:6" ht="12.75">
      <c r="A31" s="22">
        <v>39305</v>
      </c>
      <c r="B31" s="15">
        <v>103335165.81</v>
      </c>
      <c r="C31" s="15">
        <f t="shared" si="0"/>
        <v>95039296.34</v>
      </c>
      <c r="D31" s="15">
        <v>8295869.470000001</v>
      </c>
      <c r="E31" s="16">
        <v>5478</v>
      </c>
      <c r="F31" s="15">
        <v>216.34249908725815</v>
      </c>
    </row>
    <row r="32" spans="1:6" ht="12.75">
      <c r="A32" s="22">
        <v>39312</v>
      </c>
      <c r="B32" s="15">
        <v>104553982.4</v>
      </c>
      <c r="C32" s="15">
        <f t="shared" si="0"/>
        <v>95778938.01</v>
      </c>
      <c r="D32" s="15">
        <v>8775044.39</v>
      </c>
      <c r="E32" s="16">
        <v>5478</v>
      </c>
      <c r="F32" s="15">
        <v>228.83858525009128</v>
      </c>
    </row>
    <row r="33" spans="1:6" ht="12.75">
      <c r="A33" s="22">
        <v>39319</v>
      </c>
      <c r="B33" s="15">
        <v>103423889.94999999</v>
      </c>
      <c r="C33" s="15">
        <f t="shared" si="0"/>
        <v>95093850.28999999</v>
      </c>
      <c r="D33" s="15">
        <v>8330039.66</v>
      </c>
      <c r="E33" s="16">
        <v>5478</v>
      </c>
      <c r="F33" s="15">
        <v>217.23360089709487</v>
      </c>
    </row>
    <row r="34" spans="1:6" ht="12.75">
      <c r="A34" s="22">
        <v>39326</v>
      </c>
      <c r="B34" s="15">
        <v>106872271.49000001</v>
      </c>
      <c r="C34" s="15">
        <f t="shared" si="0"/>
        <v>98277036.09</v>
      </c>
      <c r="D34" s="15">
        <v>8595235.4</v>
      </c>
      <c r="E34" s="16">
        <v>5478</v>
      </c>
      <c r="F34" s="15">
        <v>224.14946539404372</v>
      </c>
    </row>
    <row r="35" spans="1:6" ht="12.75">
      <c r="A35" s="22">
        <v>39333</v>
      </c>
      <c r="B35" s="15">
        <v>119211259.16000001</v>
      </c>
      <c r="C35" s="15">
        <f t="shared" si="0"/>
        <v>109430764.20000002</v>
      </c>
      <c r="D35" s="15">
        <v>9780494.96</v>
      </c>
      <c r="E35" s="16">
        <v>5478</v>
      </c>
      <c r="F35" s="15">
        <v>255.05906639545196</v>
      </c>
    </row>
    <row r="36" spans="1:6" ht="12.75">
      <c r="A36" s="22">
        <v>39340</v>
      </c>
      <c r="B36" s="15">
        <v>104655192.43000002</v>
      </c>
      <c r="C36" s="15">
        <f t="shared" si="0"/>
        <v>96050150.62000002</v>
      </c>
      <c r="D36" s="15">
        <v>8605041.809999999</v>
      </c>
      <c r="E36" s="16">
        <v>5478</v>
      </c>
      <c r="F36" s="15">
        <v>224.40520028164602</v>
      </c>
    </row>
    <row r="37" spans="1:6" ht="12.75">
      <c r="A37" s="22">
        <v>39347</v>
      </c>
      <c r="B37" s="15">
        <v>101626847.35</v>
      </c>
      <c r="C37" s="15">
        <f t="shared" si="0"/>
        <v>93542485.00999999</v>
      </c>
      <c r="D37" s="15">
        <v>8084362.340000002</v>
      </c>
      <c r="E37" s="16">
        <v>5478</v>
      </c>
      <c r="F37" s="15">
        <v>210.82674438011793</v>
      </c>
    </row>
    <row r="38" spans="1:6" ht="12.75">
      <c r="A38" s="22">
        <v>39354</v>
      </c>
      <c r="B38" s="15">
        <v>102581440.42000002</v>
      </c>
      <c r="C38" s="15">
        <f t="shared" si="0"/>
        <v>94217110.10000002</v>
      </c>
      <c r="D38" s="15">
        <v>8364330.32</v>
      </c>
      <c r="E38" s="16">
        <v>5478</v>
      </c>
      <c r="F38" s="15">
        <v>218.1278443644709</v>
      </c>
    </row>
    <row r="39" spans="1:6" ht="12.75">
      <c r="A39" s="22">
        <v>39361</v>
      </c>
      <c r="B39" s="15">
        <v>108707742.63</v>
      </c>
      <c r="C39" s="15">
        <f t="shared" si="0"/>
        <v>99861317.33</v>
      </c>
      <c r="D39" s="15">
        <v>8846425.3</v>
      </c>
      <c r="E39" s="16">
        <v>5478</v>
      </c>
      <c r="F39" s="15">
        <v>230.70008084285195</v>
      </c>
    </row>
    <row r="40" spans="1:6" ht="12.75">
      <c r="A40" s="22">
        <v>39368</v>
      </c>
      <c r="B40" s="15">
        <v>113975389.41000001</v>
      </c>
      <c r="C40" s="15">
        <f t="shared" si="0"/>
        <v>104652078.82000001</v>
      </c>
      <c r="D40" s="15">
        <v>9323310.59</v>
      </c>
      <c r="E40" s="16">
        <v>5478</v>
      </c>
      <c r="F40" s="15">
        <v>243.13645725760182</v>
      </c>
    </row>
    <row r="41" spans="1:6" ht="12.75">
      <c r="A41" s="22">
        <v>39375</v>
      </c>
      <c r="B41" s="15">
        <v>103059566.57</v>
      </c>
      <c r="C41" s="15">
        <f t="shared" si="0"/>
        <v>94525127.47</v>
      </c>
      <c r="D41" s="15">
        <v>8534439.1</v>
      </c>
      <c r="E41" s="16">
        <v>5478</v>
      </c>
      <c r="F41" s="15">
        <v>222.56399885255306</v>
      </c>
    </row>
    <row r="42" spans="1:6" ht="12.75">
      <c r="A42" s="22">
        <v>39382</v>
      </c>
      <c r="B42" s="15">
        <v>98867913.94000003</v>
      </c>
      <c r="C42" s="15">
        <f t="shared" si="0"/>
        <v>90852032.30000003</v>
      </c>
      <c r="D42" s="15">
        <v>8015881.639999999</v>
      </c>
      <c r="E42" s="16">
        <v>5478</v>
      </c>
      <c r="F42" s="15">
        <v>209.04088144786937</v>
      </c>
    </row>
    <row r="43" spans="1:6" ht="12.75">
      <c r="A43" s="22">
        <v>39389</v>
      </c>
      <c r="B43" s="15">
        <v>103826630.42</v>
      </c>
      <c r="C43" s="15">
        <f t="shared" si="0"/>
        <v>95395857.83</v>
      </c>
      <c r="D43" s="15">
        <v>8430772.59</v>
      </c>
      <c r="E43" s="16">
        <v>5478</v>
      </c>
      <c r="F43" s="15">
        <v>219.86054842747615</v>
      </c>
    </row>
    <row r="44" spans="1:6" ht="12.75">
      <c r="A44" s="22">
        <v>39396</v>
      </c>
      <c r="B44" s="15">
        <v>103407693.48</v>
      </c>
      <c r="C44" s="15">
        <f t="shared" si="0"/>
        <v>95176405.57000001</v>
      </c>
      <c r="D44" s="15">
        <v>8231287.91</v>
      </c>
      <c r="E44" s="16">
        <v>5475.714285714285</v>
      </c>
      <c r="F44" s="15">
        <v>214.7479235585703</v>
      </c>
    </row>
    <row r="45" spans="1:6" ht="12.75">
      <c r="A45" s="22">
        <v>39403</v>
      </c>
      <c r="B45" s="15">
        <v>100040313.68</v>
      </c>
      <c r="C45" s="15">
        <f t="shared" si="0"/>
        <v>91785916.16000001</v>
      </c>
      <c r="D45" s="15">
        <v>8254397.52</v>
      </c>
      <c r="E45" s="16">
        <v>5474</v>
      </c>
      <c r="F45" s="15">
        <v>215.41827652800248</v>
      </c>
    </row>
    <row r="46" spans="1:6" ht="12.75">
      <c r="A46" s="22">
        <v>39410</v>
      </c>
      <c r="B46" s="15">
        <v>99868215.59</v>
      </c>
      <c r="C46" s="15">
        <f t="shared" si="0"/>
        <v>91728920.98</v>
      </c>
      <c r="D46" s="15">
        <v>8139294.609999999</v>
      </c>
      <c r="E46" s="16">
        <v>5474</v>
      </c>
      <c r="F46" s="15">
        <v>212.41439036484158</v>
      </c>
    </row>
    <row r="47" spans="1:6" ht="12.75">
      <c r="A47" s="22">
        <v>39417</v>
      </c>
      <c r="B47" s="15">
        <v>95691617.86</v>
      </c>
      <c r="C47" s="15">
        <f t="shared" si="0"/>
        <v>87909037.96</v>
      </c>
      <c r="D47" s="15">
        <v>7782579.9</v>
      </c>
      <c r="E47" s="16">
        <v>5474</v>
      </c>
      <c r="F47" s="15">
        <v>203.10506550446266</v>
      </c>
    </row>
    <row r="48" spans="1:6" ht="12.75">
      <c r="A48" s="22">
        <v>39424</v>
      </c>
      <c r="B48" s="15">
        <v>82482475.11999999</v>
      </c>
      <c r="C48" s="15">
        <f t="shared" si="0"/>
        <v>75638830.47999999</v>
      </c>
      <c r="D48" s="15">
        <v>6843644.64</v>
      </c>
      <c r="E48" s="16">
        <v>5451.857142857143</v>
      </c>
      <c r="F48" s="15">
        <v>179.32669444226082</v>
      </c>
    </row>
    <row r="49" spans="1:6" ht="12.75">
      <c r="A49" s="22">
        <v>39431</v>
      </c>
      <c r="B49" s="15">
        <v>79474766.96</v>
      </c>
      <c r="C49" s="15">
        <f t="shared" si="0"/>
        <v>72948269.53</v>
      </c>
      <c r="D49" s="15">
        <v>6526497.43</v>
      </c>
      <c r="E49" s="16">
        <v>5443</v>
      </c>
      <c r="F49" s="15">
        <v>171.2946492218052</v>
      </c>
    </row>
    <row r="50" spans="1:6" ht="12.75">
      <c r="A50" s="22">
        <v>39438</v>
      </c>
      <c r="B50" s="15">
        <v>80773500.81</v>
      </c>
      <c r="C50" s="15">
        <f t="shared" si="0"/>
        <v>74030529.86</v>
      </c>
      <c r="D50" s="15">
        <v>6742970.95</v>
      </c>
      <c r="E50" s="16">
        <v>5443</v>
      </c>
      <c r="F50" s="15">
        <v>176.97621978425764</v>
      </c>
    </row>
    <row r="51" spans="1:6" ht="12.75">
      <c r="A51" s="22">
        <v>39445</v>
      </c>
      <c r="B51" s="15">
        <v>108562502.99000001</v>
      </c>
      <c r="C51" s="15">
        <f t="shared" si="0"/>
        <v>99874499.7</v>
      </c>
      <c r="D51" s="15">
        <v>8688003.290000001</v>
      </c>
      <c r="E51" s="16">
        <v>5443</v>
      </c>
      <c r="F51" s="15">
        <v>228.02559749087953</v>
      </c>
    </row>
    <row r="52" spans="1:6" ht="12.75">
      <c r="A52" s="22">
        <v>39452</v>
      </c>
      <c r="B52" s="15">
        <v>115453777.32</v>
      </c>
      <c r="C52" s="15">
        <f t="shared" si="0"/>
        <v>105787373.74</v>
      </c>
      <c r="D52" s="15">
        <v>9666403.58</v>
      </c>
      <c r="E52" s="16">
        <v>5443</v>
      </c>
      <c r="F52" s="15">
        <v>253.7047211359282</v>
      </c>
    </row>
    <row r="53" spans="1:6" ht="12.75">
      <c r="A53" s="22">
        <v>39459</v>
      </c>
      <c r="B53" s="15">
        <v>104425507.96</v>
      </c>
      <c r="C53" s="15">
        <f t="shared" si="0"/>
        <v>95958850.42999999</v>
      </c>
      <c r="D53" s="15">
        <v>8466657.530000001</v>
      </c>
      <c r="E53" s="16">
        <v>5443</v>
      </c>
      <c r="F53" s="15">
        <v>222.2161499698171</v>
      </c>
    </row>
    <row r="54" spans="1:6" ht="12.75">
      <c r="A54" s="22">
        <v>39466</v>
      </c>
      <c r="B54" s="15">
        <v>95593950.91</v>
      </c>
      <c r="C54" s="15">
        <f t="shared" si="0"/>
        <v>87580497.39999999</v>
      </c>
      <c r="D54" s="15">
        <v>8013453.51</v>
      </c>
      <c r="E54" s="16">
        <v>5443</v>
      </c>
      <c r="F54" s="15">
        <v>210.32134353429043</v>
      </c>
    </row>
    <row r="55" spans="1:6" ht="12.75">
      <c r="A55" s="22">
        <v>39473</v>
      </c>
      <c r="B55" s="15">
        <v>107624121.17</v>
      </c>
      <c r="C55" s="15">
        <f t="shared" si="0"/>
        <v>99182560.07000001</v>
      </c>
      <c r="D55" s="15">
        <v>8441561.1</v>
      </c>
      <c r="E55" s="16">
        <v>5443</v>
      </c>
      <c r="F55" s="15">
        <v>221.5574683079184</v>
      </c>
    </row>
    <row r="56" spans="1:6" ht="12.75">
      <c r="A56" s="22">
        <v>39480</v>
      </c>
      <c r="B56" s="15">
        <v>108490857.07999998</v>
      </c>
      <c r="C56" s="15">
        <f t="shared" si="0"/>
        <v>99662669.85999998</v>
      </c>
      <c r="D56" s="15">
        <v>8828187.22</v>
      </c>
      <c r="E56" s="16">
        <v>5443</v>
      </c>
      <c r="F56" s="15">
        <v>231.70486916353903</v>
      </c>
    </row>
    <row r="57" spans="1:6" ht="12.75">
      <c r="A57" s="22">
        <v>39487</v>
      </c>
      <c r="B57" s="15">
        <v>112343964.79</v>
      </c>
      <c r="C57" s="15">
        <f t="shared" si="0"/>
        <v>103217431.34</v>
      </c>
      <c r="D57" s="15">
        <v>9126533.450000001</v>
      </c>
      <c r="E57" s="16">
        <v>5443</v>
      </c>
      <c r="F57" s="15">
        <v>239.53527335240548</v>
      </c>
    </row>
    <row r="58" spans="1:6" ht="12.75">
      <c r="A58" s="22">
        <v>39494</v>
      </c>
      <c r="B58" s="15">
        <v>105436013.52</v>
      </c>
      <c r="C58" s="15">
        <f t="shared" si="0"/>
        <v>96896442.72</v>
      </c>
      <c r="D58" s="15">
        <v>8539570.8</v>
      </c>
      <c r="E58" s="16">
        <v>5276.142857142857</v>
      </c>
      <c r="F58" s="15">
        <v>231.21790268865246</v>
      </c>
    </row>
    <row r="59" spans="1:6" ht="12.75">
      <c r="A59" s="22">
        <v>39501</v>
      </c>
      <c r="B59" s="15">
        <v>119887085.94999999</v>
      </c>
      <c r="C59" s="15">
        <f t="shared" si="0"/>
        <v>110113768.11999999</v>
      </c>
      <c r="D59" s="15">
        <v>9773317.829999998</v>
      </c>
      <c r="E59" s="16">
        <v>5257</v>
      </c>
      <c r="F59" s="15">
        <v>265.586505883312</v>
      </c>
    </row>
    <row r="60" spans="1:6" ht="12.75">
      <c r="A60" s="22">
        <v>39508</v>
      </c>
      <c r="B60" s="15">
        <v>115829132.88000001</v>
      </c>
      <c r="C60" s="15">
        <f t="shared" si="0"/>
        <v>106540985.87</v>
      </c>
      <c r="D60" s="15">
        <v>9288147.01</v>
      </c>
      <c r="E60" s="16">
        <v>5251.285714285715</v>
      </c>
      <c r="F60" s="15">
        <v>252.67681411355042</v>
      </c>
    </row>
    <row r="61" spans="1:6" ht="12.75">
      <c r="A61" s="22">
        <v>39515</v>
      </c>
      <c r="B61" s="15">
        <v>116879087.33999999</v>
      </c>
      <c r="C61" s="15">
        <f t="shared" si="0"/>
        <v>107446430.49999999</v>
      </c>
      <c r="D61" s="15">
        <v>9432656.84</v>
      </c>
      <c r="E61" s="16">
        <v>5257</v>
      </c>
      <c r="F61" s="15">
        <v>256.3291622054947</v>
      </c>
    </row>
    <row r="62" spans="1:6" ht="12.75">
      <c r="A62" s="22">
        <v>39522</v>
      </c>
      <c r="B62" s="15">
        <v>118855092.50999999</v>
      </c>
      <c r="C62" s="15">
        <f t="shared" si="0"/>
        <v>109104221.30999999</v>
      </c>
      <c r="D62" s="15">
        <v>9750871.2</v>
      </c>
      <c r="E62" s="16">
        <v>5245.285714285715</v>
      </c>
      <c r="F62" s="15">
        <v>265.5682980635673</v>
      </c>
    </row>
    <row r="63" spans="1:6" ht="12.75">
      <c r="A63" s="22">
        <v>39529</v>
      </c>
      <c r="B63" s="15">
        <v>112966202.85000001</v>
      </c>
      <c r="C63" s="15">
        <f t="shared" si="0"/>
        <v>103715769.73</v>
      </c>
      <c r="D63" s="15">
        <v>9250433.120000001</v>
      </c>
      <c r="E63" s="16">
        <v>5252.714285714285</v>
      </c>
      <c r="F63" s="15">
        <v>251.58239604014253</v>
      </c>
    </row>
    <row r="64" spans="1:6" ht="12.75">
      <c r="A64" s="22">
        <v>39536</v>
      </c>
      <c r="B64" s="15">
        <v>116417831.18000002</v>
      </c>
      <c r="C64" s="15">
        <f t="shared" si="0"/>
        <v>106962598.46000002</v>
      </c>
      <c r="D64" s="15">
        <v>9455232.72</v>
      </c>
      <c r="E64" s="16">
        <v>5294.428571428572</v>
      </c>
      <c r="F64" s="15">
        <v>255.12621677774482</v>
      </c>
    </row>
    <row r="65" ht="12.75">
      <c r="A65" s="22"/>
    </row>
    <row r="66" spans="1:6" ht="13.5" thickBot="1">
      <c r="A66" s="3" t="s">
        <v>8</v>
      </c>
      <c r="B66" s="17">
        <f>SUM(B13:B64)</f>
        <v>5275188249.120002</v>
      </c>
      <c r="C66" s="17">
        <f>SUM(C13:C64)</f>
        <v>4845905681.610001</v>
      </c>
      <c r="D66" s="17">
        <f>SUM(D13:D64)</f>
        <v>429282567.50999993</v>
      </c>
      <c r="E66" s="24">
        <f>SUM(E13:E64)/COUNT(E13:E64)</f>
        <v>5441.629120879121</v>
      </c>
      <c r="F66" s="17">
        <f>+D66/SUM(E13:E64)/7</f>
        <v>216.7269556123353</v>
      </c>
    </row>
    <row r="67" spans="2:4" ht="10.5" customHeight="1" thickTop="1">
      <c r="B67" s="18"/>
      <c r="C67" s="18"/>
      <c r="D67" s="18"/>
    </row>
    <row r="68" spans="1:4" s="21" customFormat="1" ht="12.75">
      <c r="A68" s="19"/>
      <c r="B68" s="20"/>
      <c r="C68" s="20"/>
      <c r="D68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pane ySplit="11" topLeftCell="A57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16.00390625" style="22" customWidth="1"/>
    <col min="2" max="4" width="16.00390625" style="15" customWidth="1"/>
    <col min="5" max="5" width="16.00390625" style="16" customWidth="1"/>
    <col min="6" max="6" width="16.00390625" style="15" customWidth="1"/>
  </cols>
  <sheetData>
    <row r="1" spans="1:8" ht="18">
      <c r="A1" s="73" t="s">
        <v>15</v>
      </c>
      <c r="B1" s="73"/>
      <c r="C1" s="73"/>
      <c r="D1" s="73"/>
      <c r="E1" s="73"/>
      <c r="F1" s="73"/>
      <c r="G1" s="26"/>
      <c r="H1" s="26"/>
    </row>
    <row r="2" spans="1:8" ht="15">
      <c r="A2" s="74" t="s">
        <v>16</v>
      </c>
      <c r="B2" s="74"/>
      <c r="C2" s="74"/>
      <c r="D2" s="74"/>
      <c r="E2" s="74"/>
      <c r="F2" s="74"/>
      <c r="G2" s="27"/>
      <c r="H2" s="27"/>
    </row>
    <row r="3" spans="1:8" s="1" customFormat="1" ht="15">
      <c r="A3" s="74" t="s">
        <v>17</v>
      </c>
      <c r="B3" s="74"/>
      <c r="C3" s="74"/>
      <c r="D3" s="74"/>
      <c r="E3" s="74"/>
      <c r="F3" s="74"/>
      <c r="G3" s="27"/>
      <c r="H3" s="27"/>
    </row>
    <row r="4" spans="1:8" s="1" customFormat="1" ht="14.25">
      <c r="A4" s="65" t="s">
        <v>18</v>
      </c>
      <c r="B4" s="65"/>
      <c r="C4" s="65"/>
      <c r="D4" s="65"/>
      <c r="E4" s="65"/>
      <c r="F4" s="65"/>
      <c r="G4" s="28"/>
      <c r="H4" s="28"/>
    </row>
    <row r="5" spans="1:8" s="1" customFormat="1" ht="14.25">
      <c r="A5" s="75" t="s">
        <v>19</v>
      </c>
      <c r="B5" s="75"/>
      <c r="C5" s="75"/>
      <c r="D5" s="75"/>
      <c r="E5" s="75"/>
      <c r="F5" s="75"/>
      <c r="G5" s="29"/>
      <c r="H5" s="29"/>
    </row>
    <row r="6" spans="1:8" s="1" customFormat="1" ht="14.25">
      <c r="A6" s="30"/>
      <c r="B6" s="2"/>
      <c r="C6" s="2"/>
      <c r="D6" s="2"/>
      <c r="E6" s="2"/>
      <c r="F6" s="2"/>
      <c r="G6" s="2"/>
      <c r="H6" s="2"/>
    </row>
    <row r="7" spans="1:6" s="1" customFormat="1" ht="12.75">
      <c r="A7" s="22"/>
      <c r="B7" s="4"/>
      <c r="C7" s="4"/>
      <c r="D7" s="5"/>
      <c r="E7" s="6"/>
      <c r="F7" s="5"/>
    </row>
    <row r="8" spans="1:6" s="7" customFormat="1" ht="14.25" customHeight="1">
      <c r="A8" s="70" t="s">
        <v>13</v>
      </c>
      <c r="B8" s="71"/>
      <c r="C8" s="71"/>
      <c r="D8" s="71"/>
      <c r="E8" s="71"/>
      <c r="F8" s="72"/>
    </row>
    <row r="9" spans="1:6" s="1" customFormat="1" ht="9" customHeight="1">
      <c r="A9" s="22"/>
      <c r="B9" s="4"/>
      <c r="C9" s="4"/>
      <c r="D9" s="5"/>
      <c r="E9" s="6"/>
      <c r="F9" s="5"/>
    </row>
    <row r="10" spans="1:6" s="12" customFormat="1" ht="12">
      <c r="A10" s="31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32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38815</v>
      </c>
      <c r="B13" s="15">
        <v>0</v>
      </c>
      <c r="C13" s="15">
        <v>0</v>
      </c>
      <c r="D13" s="15">
        <v>0</v>
      </c>
      <c r="E13" s="16">
        <v>0</v>
      </c>
      <c r="F13" s="15">
        <v>0</v>
      </c>
    </row>
    <row r="14" spans="1:6" ht="12.75">
      <c r="A14" s="22">
        <v>38822</v>
      </c>
      <c r="B14" s="15">
        <v>0</v>
      </c>
      <c r="C14" s="15">
        <v>0</v>
      </c>
      <c r="D14" s="15">
        <v>0</v>
      </c>
      <c r="E14" s="16">
        <v>0</v>
      </c>
      <c r="F14" s="15">
        <v>0</v>
      </c>
    </row>
    <row r="15" spans="1:6" ht="12.75">
      <c r="A15" s="22">
        <v>38829</v>
      </c>
      <c r="B15" s="15">
        <v>0</v>
      </c>
      <c r="C15" s="15">
        <v>0</v>
      </c>
      <c r="D15" s="15">
        <v>0</v>
      </c>
      <c r="E15" s="16">
        <v>0</v>
      </c>
      <c r="F15" s="15">
        <v>0</v>
      </c>
    </row>
    <row r="16" spans="1:6" ht="12.75">
      <c r="A16" s="22">
        <v>38836</v>
      </c>
      <c r="B16" s="15">
        <v>0</v>
      </c>
      <c r="C16" s="15">
        <v>0</v>
      </c>
      <c r="D16" s="15">
        <v>0</v>
      </c>
      <c r="E16" s="16">
        <v>0</v>
      </c>
      <c r="F16" s="15">
        <v>0</v>
      </c>
    </row>
    <row r="17" spans="1:6" ht="12.75">
      <c r="A17" s="22">
        <v>38843</v>
      </c>
      <c r="B17" s="15">
        <v>0</v>
      </c>
      <c r="C17" s="15">
        <v>0</v>
      </c>
      <c r="D17" s="15">
        <v>0</v>
      </c>
      <c r="E17" s="16">
        <v>0</v>
      </c>
      <c r="F17" s="15">
        <v>0</v>
      </c>
    </row>
    <row r="18" spans="1:6" ht="12.75">
      <c r="A18" s="22">
        <v>38850</v>
      </c>
      <c r="B18" s="15">
        <v>0</v>
      </c>
      <c r="C18" s="15">
        <v>0</v>
      </c>
      <c r="D18" s="15">
        <v>0</v>
      </c>
      <c r="E18" s="16">
        <v>0</v>
      </c>
      <c r="F18" s="15">
        <v>0</v>
      </c>
    </row>
    <row r="19" spans="1:6" ht="12.75">
      <c r="A19" s="22">
        <v>38857</v>
      </c>
      <c r="B19" s="15">
        <v>0</v>
      </c>
      <c r="C19" s="15">
        <v>0</v>
      </c>
      <c r="D19" s="15">
        <v>0</v>
      </c>
      <c r="E19" s="16">
        <v>0</v>
      </c>
      <c r="F19" s="15">
        <v>0</v>
      </c>
    </row>
    <row r="20" spans="1:6" ht="12.75">
      <c r="A20" s="22">
        <v>38864</v>
      </c>
      <c r="B20" s="15">
        <v>0</v>
      </c>
      <c r="C20" s="15">
        <v>0</v>
      </c>
      <c r="D20" s="15">
        <v>0</v>
      </c>
      <c r="E20" s="16">
        <v>0</v>
      </c>
      <c r="F20" s="15">
        <v>0</v>
      </c>
    </row>
    <row r="21" spans="1:6" ht="12.75">
      <c r="A21" s="22">
        <v>38871</v>
      </c>
      <c r="B21" s="15">
        <v>0</v>
      </c>
      <c r="C21" s="15">
        <v>0</v>
      </c>
      <c r="D21" s="15">
        <v>0</v>
      </c>
      <c r="E21" s="16">
        <v>0</v>
      </c>
      <c r="F21" s="15">
        <v>0</v>
      </c>
    </row>
    <row r="22" spans="1:6" ht="12.75">
      <c r="A22" s="22">
        <v>38878</v>
      </c>
      <c r="B22" s="15">
        <v>0</v>
      </c>
      <c r="C22" s="15">
        <v>0</v>
      </c>
      <c r="D22" s="15">
        <v>0</v>
      </c>
      <c r="E22" s="16">
        <v>0</v>
      </c>
      <c r="F22" s="15">
        <v>0</v>
      </c>
    </row>
    <row r="23" spans="1:6" ht="12.75">
      <c r="A23" s="22">
        <v>38885</v>
      </c>
      <c r="B23" s="15">
        <v>0</v>
      </c>
      <c r="C23" s="15">
        <v>0</v>
      </c>
      <c r="D23" s="15">
        <v>0</v>
      </c>
      <c r="E23" s="16">
        <v>0</v>
      </c>
      <c r="F23" s="15">
        <v>0</v>
      </c>
    </row>
    <row r="24" spans="1:6" ht="12.75">
      <c r="A24" s="22">
        <v>38892</v>
      </c>
      <c r="B24" s="15">
        <v>0</v>
      </c>
      <c r="C24" s="15">
        <v>0</v>
      </c>
      <c r="D24" s="15">
        <v>0</v>
      </c>
      <c r="E24" s="16">
        <v>0</v>
      </c>
      <c r="F24" s="15">
        <v>0</v>
      </c>
    </row>
    <row r="25" spans="1:6" ht="12.75">
      <c r="A25" s="22">
        <v>38899</v>
      </c>
      <c r="B25" s="15">
        <v>0</v>
      </c>
      <c r="C25" s="15">
        <v>0</v>
      </c>
      <c r="D25" s="15">
        <v>0</v>
      </c>
      <c r="E25" s="16">
        <v>0</v>
      </c>
      <c r="F25" s="15">
        <v>0</v>
      </c>
    </row>
    <row r="26" spans="1:6" ht="12.75">
      <c r="A26" s="22">
        <v>38906</v>
      </c>
      <c r="B26" s="15">
        <v>0</v>
      </c>
      <c r="C26" s="15">
        <v>0</v>
      </c>
      <c r="D26" s="15">
        <v>0</v>
      </c>
      <c r="E26" s="16">
        <v>0</v>
      </c>
      <c r="F26" s="15">
        <v>0</v>
      </c>
    </row>
    <row r="27" spans="1:6" ht="12.75">
      <c r="A27" s="22">
        <v>38913</v>
      </c>
      <c r="B27" s="15">
        <v>0</v>
      </c>
      <c r="C27" s="15">
        <v>0</v>
      </c>
      <c r="D27" s="15">
        <v>0</v>
      </c>
      <c r="E27" s="16">
        <v>0</v>
      </c>
      <c r="F27" s="15">
        <v>0</v>
      </c>
    </row>
    <row r="28" spans="1:6" ht="12.75">
      <c r="A28" s="22">
        <v>38920</v>
      </c>
      <c r="B28" s="15">
        <v>0</v>
      </c>
      <c r="C28" s="15">
        <v>0</v>
      </c>
      <c r="D28" s="15">
        <v>0</v>
      </c>
      <c r="E28" s="16">
        <v>0</v>
      </c>
      <c r="F28" s="15">
        <v>0</v>
      </c>
    </row>
    <row r="29" spans="1:6" ht="12.75">
      <c r="A29" s="22">
        <v>38927</v>
      </c>
      <c r="B29" s="15">
        <v>0</v>
      </c>
      <c r="C29" s="15">
        <v>0</v>
      </c>
      <c r="D29" s="15">
        <v>0</v>
      </c>
      <c r="E29" s="16">
        <v>0</v>
      </c>
      <c r="F29" s="15">
        <v>0</v>
      </c>
    </row>
    <row r="30" spans="1:6" ht="12.75">
      <c r="A30" s="22">
        <v>38934</v>
      </c>
      <c r="B30" s="15">
        <v>0</v>
      </c>
      <c r="C30" s="15">
        <v>0</v>
      </c>
      <c r="D30" s="15">
        <v>0</v>
      </c>
      <c r="E30" s="16">
        <v>0</v>
      </c>
      <c r="F30" s="15">
        <v>0</v>
      </c>
    </row>
    <row r="31" spans="1:6" ht="12.75">
      <c r="A31" s="22">
        <v>38941</v>
      </c>
      <c r="B31" s="15">
        <v>0</v>
      </c>
      <c r="C31" s="15">
        <v>0</v>
      </c>
      <c r="D31" s="15">
        <v>0</v>
      </c>
      <c r="E31" s="16">
        <v>0</v>
      </c>
      <c r="F31" s="15">
        <v>0</v>
      </c>
    </row>
    <row r="32" spans="1:6" ht="12.75">
      <c r="A32" s="22">
        <v>38948</v>
      </c>
      <c r="B32" s="15">
        <v>0</v>
      </c>
      <c r="C32" s="15">
        <v>0</v>
      </c>
      <c r="D32" s="15">
        <v>0</v>
      </c>
      <c r="E32" s="16">
        <v>0</v>
      </c>
      <c r="F32" s="15">
        <v>0</v>
      </c>
    </row>
    <row r="33" spans="1:6" ht="12.75">
      <c r="A33" s="22">
        <v>38955</v>
      </c>
      <c r="B33" s="15">
        <v>0</v>
      </c>
      <c r="C33" s="15">
        <v>0</v>
      </c>
      <c r="D33" s="15">
        <v>0</v>
      </c>
      <c r="E33" s="16">
        <v>0</v>
      </c>
      <c r="F33" s="15">
        <v>0</v>
      </c>
    </row>
    <row r="34" spans="1:6" ht="12.75">
      <c r="A34" s="22">
        <v>38962</v>
      </c>
      <c r="B34" s="15">
        <v>0</v>
      </c>
      <c r="C34" s="15">
        <v>0</v>
      </c>
      <c r="D34" s="15">
        <v>0</v>
      </c>
      <c r="E34" s="16">
        <v>0</v>
      </c>
      <c r="F34" s="15">
        <v>0</v>
      </c>
    </row>
    <row r="35" spans="1:6" ht="12.75">
      <c r="A35" s="22">
        <v>38969</v>
      </c>
      <c r="B35" s="15">
        <v>0</v>
      </c>
      <c r="C35" s="15">
        <v>0</v>
      </c>
      <c r="D35" s="15">
        <v>0</v>
      </c>
      <c r="E35" s="16">
        <v>0</v>
      </c>
      <c r="F35" s="15">
        <v>0</v>
      </c>
    </row>
    <row r="36" spans="1:6" ht="12.75">
      <c r="A36" s="22">
        <v>38976</v>
      </c>
      <c r="B36" s="15">
        <v>0</v>
      </c>
      <c r="C36" s="15">
        <v>0</v>
      </c>
      <c r="D36" s="15">
        <v>0</v>
      </c>
      <c r="E36" s="16">
        <v>0</v>
      </c>
      <c r="F36" s="15">
        <v>0</v>
      </c>
    </row>
    <row r="37" spans="1:6" ht="12.75">
      <c r="A37" s="22">
        <v>38983</v>
      </c>
      <c r="B37" s="15">
        <v>0</v>
      </c>
      <c r="C37" s="15">
        <v>0</v>
      </c>
      <c r="D37" s="15">
        <v>0</v>
      </c>
      <c r="E37" s="16">
        <v>0</v>
      </c>
      <c r="F37" s="15">
        <v>0</v>
      </c>
    </row>
    <row r="38" spans="1:6" ht="12.75">
      <c r="A38" s="22">
        <v>38990</v>
      </c>
      <c r="B38" s="15">
        <v>0</v>
      </c>
      <c r="C38" s="15">
        <v>0</v>
      </c>
      <c r="D38" s="15">
        <v>0</v>
      </c>
      <c r="E38" s="16">
        <v>0</v>
      </c>
      <c r="F38" s="15">
        <v>0</v>
      </c>
    </row>
    <row r="39" spans="1:6" ht="12.75">
      <c r="A39" s="22">
        <v>38997</v>
      </c>
      <c r="B39" s="15">
        <v>0</v>
      </c>
      <c r="C39" s="15">
        <v>0</v>
      </c>
      <c r="D39" s="15">
        <v>0</v>
      </c>
      <c r="E39" s="16">
        <v>0</v>
      </c>
      <c r="F39" s="15">
        <v>0</v>
      </c>
    </row>
    <row r="40" spans="1:6" ht="12.75">
      <c r="A40" s="22">
        <v>39004</v>
      </c>
      <c r="B40" s="15">
        <v>29196217.84</v>
      </c>
      <c r="C40" s="15">
        <f aca="true" t="shared" si="0" ref="C40:C64">+B40-D40</f>
        <v>26871167.61</v>
      </c>
      <c r="D40" s="15">
        <v>2325050.23</v>
      </c>
      <c r="E40" s="16">
        <v>1870</v>
      </c>
      <c r="F40" s="15">
        <v>310.8355922459893</v>
      </c>
    </row>
    <row r="41" spans="1:6" ht="12.75">
      <c r="A41" s="22">
        <v>39011</v>
      </c>
      <c r="B41" s="15">
        <v>48670790.550000004</v>
      </c>
      <c r="C41" s="15">
        <f t="shared" si="0"/>
        <v>44900411.67</v>
      </c>
      <c r="D41" s="15">
        <v>3770378.88</v>
      </c>
      <c r="E41" s="16">
        <v>1870</v>
      </c>
      <c r="F41" s="15">
        <v>288.03505576776166</v>
      </c>
    </row>
    <row r="42" spans="1:6" ht="12.75">
      <c r="A42" s="22">
        <v>39018</v>
      </c>
      <c r="B42" s="15">
        <v>48328069.70999999</v>
      </c>
      <c r="C42" s="15">
        <f t="shared" si="0"/>
        <v>44505762.18999999</v>
      </c>
      <c r="D42" s="15">
        <v>3822307.52</v>
      </c>
      <c r="E42" s="16">
        <v>1870</v>
      </c>
      <c r="F42" s="15">
        <v>292.00210236822</v>
      </c>
    </row>
    <row r="43" spans="1:6" ht="12.75">
      <c r="A43" s="22">
        <v>39025</v>
      </c>
      <c r="B43" s="15">
        <v>52875562.84</v>
      </c>
      <c r="C43" s="15">
        <f t="shared" si="0"/>
        <v>48776009.510000005</v>
      </c>
      <c r="D43" s="15">
        <v>4099553.33</v>
      </c>
      <c r="E43" s="16">
        <v>2011.4285714285713</v>
      </c>
      <c r="F43" s="15">
        <v>291.16145809659093</v>
      </c>
    </row>
    <row r="44" spans="1:6" ht="12.75">
      <c r="A44" s="22">
        <v>39032</v>
      </c>
      <c r="B44" s="15">
        <v>55911655.879999995</v>
      </c>
      <c r="C44" s="15">
        <f t="shared" si="0"/>
        <v>51681742.449999996</v>
      </c>
      <c r="D44" s="15">
        <v>4229913.43</v>
      </c>
      <c r="E44" s="16">
        <v>2365</v>
      </c>
      <c r="F44" s="15">
        <v>255.50670069465417</v>
      </c>
    </row>
    <row r="45" spans="1:6" ht="12.75">
      <c r="A45" s="22">
        <v>39039</v>
      </c>
      <c r="B45" s="15">
        <v>54347722.529999994</v>
      </c>
      <c r="C45" s="15">
        <f t="shared" si="0"/>
        <v>50151098.03999999</v>
      </c>
      <c r="D45" s="15">
        <v>4196624.49</v>
      </c>
      <c r="E45" s="16">
        <v>2365</v>
      </c>
      <c r="F45" s="15">
        <v>253.49589187556631</v>
      </c>
    </row>
    <row r="46" spans="1:6" ht="12.75">
      <c r="A46" s="22">
        <v>39046</v>
      </c>
      <c r="B46" s="15">
        <v>57621842.529999994</v>
      </c>
      <c r="C46" s="15">
        <f t="shared" si="0"/>
        <v>53068306.169999994</v>
      </c>
      <c r="D46" s="15">
        <v>4553536.36</v>
      </c>
      <c r="E46" s="16">
        <v>2365</v>
      </c>
      <c r="F46" s="15">
        <v>275.0550504379342</v>
      </c>
    </row>
    <row r="47" spans="1:6" ht="12.75">
      <c r="A47" s="22">
        <v>39053</v>
      </c>
      <c r="B47" s="15">
        <v>55872460.67</v>
      </c>
      <c r="C47" s="15">
        <f t="shared" si="0"/>
        <v>51304594.13</v>
      </c>
      <c r="D47" s="15">
        <v>4567866.54</v>
      </c>
      <c r="E47" s="16">
        <v>2365</v>
      </c>
      <c r="F47" s="15">
        <v>275.92066082754457</v>
      </c>
    </row>
    <row r="48" spans="1:6" ht="12.75">
      <c r="A48" s="22">
        <v>39060</v>
      </c>
      <c r="B48" s="15">
        <v>51266118.5</v>
      </c>
      <c r="C48" s="15">
        <f t="shared" si="0"/>
        <v>47212440.96</v>
      </c>
      <c r="D48" s="15">
        <v>4053677.54</v>
      </c>
      <c r="E48" s="16">
        <v>2365</v>
      </c>
      <c r="F48" s="15">
        <v>244.8612225913621</v>
      </c>
    </row>
    <row r="49" spans="1:6" ht="12.75">
      <c r="A49" s="22">
        <v>39067</v>
      </c>
      <c r="B49" s="15">
        <v>51357293.849999994</v>
      </c>
      <c r="C49" s="15">
        <f t="shared" si="0"/>
        <v>47144782.98</v>
      </c>
      <c r="D49" s="15">
        <v>4212510.87</v>
      </c>
      <c r="E49" s="16">
        <v>2365</v>
      </c>
      <c r="F49" s="15">
        <v>254.45550407731804</v>
      </c>
    </row>
    <row r="50" spans="1:6" ht="12.75">
      <c r="A50" s="22">
        <v>39074</v>
      </c>
      <c r="B50" s="15">
        <v>48564266.81</v>
      </c>
      <c r="C50" s="15">
        <f t="shared" si="0"/>
        <v>44766968.07</v>
      </c>
      <c r="D50" s="15">
        <v>3797298.74</v>
      </c>
      <c r="E50" s="16">
        <v>2365</v>
      </c>
      <c r="F50" s="15">
        <v>229.37473512533978</v>
      </c>
    </row>
    <row r="51" spans="1:6" ht="12.75">
      <c r="A51" s="22">
        <v>39081</v>
      </c>
      <c r="B51" s="15">
        <v>68656829.34</v>
      </c>
      <c r="C51" s="15">
        <f t="shared" si="0"/>
        <v>63223699.77</v>
      </c>
      <c r="D51" s="15">
        <v>5433129.57</v>
      </c>
      <c r="E51" s="16">
        <v>3111.5714285714284</v>
      </c>
      <c r="F51" s="15">
        <v>249.4435319774115</v>
      </c>
    </row>
    <row r="52" spans="1:6" ht="12.75">
      <c r="A52" s="22">
        <v>39088</v>
      </c>
      <c r="B52" s="15">
        <v>76768797.01</v>
      </c>
      <c r="C52" s="15">
        <f t="shared" si="0"/>
        <v>70748348.74000001</v>
      </c>
      <c r="D52" s="15">
        <v>6020448.2700000005</v>
      </c>
      <c r="E52" s="16">
        <v>4107</v>
      </c>
      <c r="F52" s="15">
        <v>209.41418031931548</v>
      </c>
    </row>
    <row r="53" spans="1:6" ht="12.75">
      <c r="A53" s="22">
        <v>39095</v>
      </c>
      <c r="B53" s="15">
        <v>67806376.17</v>
      </c>
      <c r="C53" s="15">
        <f t="shared" si="0"/>
        <v>62459844.36</v>
      </c>
      <c r="D53" s="15">
        <v>5346531.81</v>
      </c>
      <c r="E53" s="16">
        <v>4107</v>
      </c>
      <c r="F53" s="15">
        <v>185.9727924449546</v>
      </c>
    </row>
    <row r="54" spans="1:6" ht="12.75">
      <c r="A54" s="22">
        <v>39102</v>
      </c>
      <c r="B54" s="15">
        <v>72452601.25999999</v>
      </c>
      <c r="C54" s="15">
        <f t="shared" si="0"/>
        <v>66660487.72999999</v>
      </c>
      <c r="D54" s="15">
        <v>5792113.529999999</v>
      </c>
      <c r="E54" s="16">
        <v>4107</v>
      </c>
      <c r="F54" s="15">
        <v>201.47182615047478</v>
      </c>
    </row>
    <row r="55" spans="1:6" ht="12.75">
      <c r="A55" s="22">
        <v>39109</v>
      </c>
      <c r="B55" s="15">
        <v>68475062.6</v>
      </c>
      <c r="C55" s="15">
        <f t="shared" si="0"/>
        <v>62976890.599999994</v>
      </c>
      <c r="D55" s="15">
        <v>5498172</v>
      </c>
      <c r="E55" s="16">
        <v>4107</v>
      </c>
      <c r="F55" s="15">
        <v>191.24741730147136</v>
      </c>
    </row>
    <row r="56" spans="1:6" ht="12.75">
      <c r="A56" s="22">
        <v>39116</v>
      </c>
      <c r="B56" s="15">
        <v>75558114.82000001</v>
      </c>
      <c r="C56" s="15">
        <f t="shared" si="0"/>
        <v>69510912.7</v>
      </c>
      <c r="D56" s="15">
        <v>6047202.119999999</v>
      </c>
      <c r="E56" s="16">
        <v>4107</v>
      </c>
      <c r="F56" s="15">
        <v>210.34478138370028</v>
      </c>
    </row>
    <row r="57" spans="1:6" ht="12.75">
      <c r="A57" s="22">
        <v>39123</v>
      </c>
      <c r="B57" s="15">
        <v>73272256.89</v>
      </c>
      <c r="C57" s="15">
        <f t="shared" si="0"/>
        <v>67387232.5</v>
      </c>
      <c r="D57" s="15">
        <v>5885024.39</v>
      </c>
      <c r="E57" s="16">
        <v>4107</v>
      </c>
      <c r="F57" s="15">
        <v>204.70362064767468</v>
      </c>
    </row>
    <row r="58" spans="1:6" ht="12.75">
      <c r="A58" s="22">
        <v>39130</v>
      </c>
      <c r="B58" s="15">
        <v>65200199.56</v>
      </c>
      <c r="C58" s="15">
        <f t="shared" si="0"/>
        <v>59694040.13</v>
      </c>
      <c r="D58" s="15">
        <v>5506159.430000001</v>
      </c>
      <c r="E58" s="16">
        <v>4107</v>
      </c>
      <c r="F58" s="15">
        <v>191.5252506174128</v>
      </c>
    </row>
    <row r="59" spans="1:6" ht="12.75">
      <c r="A59" s="22">
        <v>39137</v>
      </c>
      <c r="B59" s="15">
        <v>87503912.33</v>
      </c>
      <c r="C59" s="15">
        <f t="shared" si="0"/>
        <v>80359951.96</v>
      </c>
      <c r="D59" s="15">
        <v>7143960.37</v>
      </c>
      <c r="E59" s="16">
        <v>4107</v>
      </c>
      <c r="F59" s="15">
        <v>248.49422136422137</v>
      </c>
    </row>
    <row r="60" spans="1:6" ht="12.75">
      <c r="A60" s="22">
        <v>39144</v>
      </c>
      <c r="B60" s="15">
        <v>82813872.21</v>
      </c>
      <c r="C60" s="15">
        <f t="shared" si="0"/>
        <v>76254400.59799999</v>
      </c>
      <c r="D60" s="15">
        <v>6559471.612</v>
      </c>
      <c r="E60" s="16">
        <v>4107</v>
      </c>
      <c r="F60" s="15">
        <v>228.1634704511461</v>
      </c>
    </row>
    <row r="61" spans="1:6" ht="12.75">
      <c r="A61" s="22">
        <v>39151</v>
      </c>
      <c r="B61" s="15">
        <v>82320969.94</v>
      </c>
      <c r="C61" s="15">
        <f t="shared" si="0"/>
        <v>75590569.9</v>
      </c>
      <c r="D61" s="15">
        <v>6730400.039999999</v>
      </c>
      <c r="E61" s="16">
        <v>4107</v>
      </c>
      <c r="F61" s="15">
        <v>234.10901387874358</v>
      </c>
    </row>
    <row r="62" spans="1:6" ht="12.75">
      <c r="A62" s="22">
        <v>39158</v>
      </c>
      <c r="B62" s="15">
        <v>72857884.25</v>
      </c>
      <c r="C62" s="15">
        <f t="shared" si="0"/>
        <v>66885039.480000004</v>
      </c>
      <c r="D62" s="15">
        <v>5972844.77</v>
      </c>
      <c r="E62" s="16">
        <v>5282.142857142857</v>
      </c>
      <c r="F62" s="15">
        <v>161.53738390804597</v>
      </c>
    </row>
    <row r="63" spans="1:6" ht="12.75">
      <c r="A63" s="25">
        <v>39165</v>
      </c>
      <c r="B63" s="23">
        <v>86702123.25000001</v>
      </c>
      <c r="C63" s="15">
        <f t="shared" si="0"/>
        <v>79699094.47000001</v>
      </c>
      <c r="D63" s="23">
        <v>7003028.78</v>
      </c>
      <c r="E63" s="16">
        <v>5478</v>
      </c>
      <c r="F63" s="15">
        <v>182.62736087205968</v>
      </c>
    </row>
    <row r="64" spans="1:6" ht="12.75">
      <c r="A64" s="33">
        <v>39172</v>
      </c>
      <c r="B64" s="23">
        <v>92177727.56</v>
      </c>
      <c r="C64" s="15">
        <f t="shared" si="0"/>
        <v>84641727.95</v>
      </c>
      <c r="D64" s="23">
        <v>7535999.61</v>
      </c>
      <c r="E64" s="16">
        <v>5478</v>
      </c>
      <c r="F64" s="15">
        <v>196.52635503051167</v>
      </c>
    </row>
    <row r="66" spans="1:6" ht="13.5" thickBot="1">
      <c r="A66" s="25" t="s">
        <v>12</v>
      </c>
      <c r="B66" s="17">
        <f>SUM(B40:B64)</f>
        <v>1626578728.9</v>
      </c>
      <c r="C66" s="17">
        <f>SUM(C40:C64)</f>
        <v>1496475524.6680002</v>
      </c>
      <c r="D66" s="17">
        <f>SUM(D40:D64)</f>
        <v>130103204.23200002</v>
      </c>
      <c r="E66" s="24">
        <v>3061</v>
      </c>
      <c r="F66" s="17">
        <v>222</v>
      </c>
    </row>
    <row r="67" spans="2:4" ht="12.75" customHeight="1" thickTop="1">
      <c r="B67" s="18"/>
      <c r="C67" s="18"/>
      <c r="D67" s="18"/>
    </row>
    <row r="68" spans="1:4" s="21" customFormat="1" ht="12.75">
      <c r="A68" s="22"/>
      <c r="B68" s="20"/>
      <c r="C68" s="20"/>
      <c r="D68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pane ySplit="10" topLeftCell="A54" activePane="bottomLeft" state="frozen"/>
      <selection pane="topLeft" activeCell="A1" sqref="A1"/>
      <selection pane="bottomLeft" activeCell="A64" sqref="A64:G64"/>
    </sheetView>
  </sheetViews>
  <sheetFormatPr defaultColWidth="9.140625" defaultRowHeight="12.75"/>
  <cols>
    <col min="1" max="1" width="16.00390625" style="38" customWidth="1"/>
    <col min="2" max="5" width="16.00390625" style="35" customWidth="1"/>
    <col min="6" max="6" width="16.00390625" style="37" customWidth="1"/>
    <col min="7" max="7" width="16.00390625" style="35" customWidth="1"/>
    <col min="8" max="16384" width="9.140625" style="36" customWidth="1"/>
  </cols>
  <sheetData>
    <row r="1" spans="1:8" ht="18">
      <c r="A1" s="63" t="s">
        <v>15</v>
      </c>
      <c r="B1" s="63"/>
      <c r="C1" s="63"/>
      <c r="D1" s="63"/>
      <c r="E1" s="63"/>
      <c r="F1" s="63"/>
      <c r="G1" s="63"/>
      <c r="H1" s="60"/>
    </row>
    <row r="2" spans="1:8" ht="15">
      <c r="A2" s="64" t="s">
        <v>16</v>
      </c>
      <c r="B2" s="64"/>
      <c r="C2" s="64"/>
      <c r="D2" s="64"/>
      <c r="E2" s="64"/>
      <c r="F2" s="64"/>
      <c r="G2" s="64"/>
      <c r="H2" s="59"/>
    </row>
    <row r="3" spans="1:8" s="52" customFormat="1" ht="15">
      <c r="A3" s="64" t="s">
        <v>17</v>
      </c>
      <c r="B3" s="64"/>
      <c r="C3" s="64"/>
      <c r="D3" s="64"/>
      <c r="E3" s="64"/>
      <c r="F3" s="64"/>
      <c r="G3" s="64"/>
      <c r="H3" s="59"/>
    </row>
    <row r="4" spans="1:8" s="52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52" customFormat="1" ht="14.25">
      <c r="A5" s="66" t="s">
        <v>19</v>
      </c>
      <c r="B5" s="66"/>
      <c r="C5" s="66"/>
      <c r="D5" s="66"/>
      <c r="E5" s="66"/>
      <c r="F5" s="66"/>
      <c r="G5" s="66"/>
      <c r="H5" s="58"/>
    </row>
    <row r="6" spans="1:8" s="52" customFormat="1" ht="14.25">
      <c r="A6" s="57"/>
      <c r="B6" s="57"/>
      <c r="C6" s="57"/>
      <c r="D6" s="57"/>
      <c r="E6" s="57"/>
      <c r="F6" s="57"/>
      <c r="G6" s="57"/>
      <c r="H6" s="57"/>
    </row>
    <row r="7" spans="1:7" s="56" customFormat="1" ht="14.25" customHeight="1">
      <c r="A7" s="67" t="s">
        <v>36</v>
      </c>
      <c r="B7" s="68"/>
      <c r="C7" s="68"/>
      <c r="D7" s="68"/>
      <c r="E7" s="68"/>
      <c r="F7" s="68"/>
      <c r="G7" s="69"/>
    </row>
    <row r="8" spans="1:7" s="52" customFormat="1" ht="9" customHeight="1">
      <c r="A8" s="38"/>
      <c r="B8" s="55"/>
      <c r="C8" s="55"/>
      <c r="D8" s="55"/>
      <c r="E8" s="53"/>
      <c r="F8" s="54"/>
      <c r="G8" s="53"/>
    </row>
    <row r="9" spans="1:7" s="45" customFormat="1" ht="12">
      <c r="A9" s="51"/>
      <c r="B9" s="49" t="s">
        <v>0</v>
      </c>
      <c r="C9" s="49" t="s">
        <v>21</v>
      </c>
      <c r="D9" s="49" t="s">
        <v>0</v>
      </c>
      <c r="E9" s="49"/>
      <c r="F9" s="50" t="s">
        <v>1</v>
      </c>
      <c r="G9" s="49" t="s">
        <v>2</v>
      </c>
    </row>
    <row r="10" spans="1:7" s="45" customFormat="1" ht="12">
      <c r="A10" s="48" t="s">
        <v>11</v>
      </c>
      <c r="B10" s="46" t="s">
        <v>3</v>
      </c>
      <c r="C10" s="46" t="s">
        <v>24</v>
      </c>
      <c r="D10" s="46" t="s">
        <v>4</v>
      </c>
      <c r="E10" s="46" t="s">
        <v>5</v>
      </c>
      <c r="F10" s="47" t="s">
        <v>6</v>
      </c>
      <c r="G10" s="46" t="s">
        <v>7</v>
      </c>
    </row>
    <row r="12" spans="1:7" ht="12.75">
      <c r="A12" s="22">
        <v>45017</v>
      </c>
      <c r="B12" s="35">
        <v>184531178.77000004</v>
      </c>
      <c r="C12" s="35">
        <v>425709.08999999997</v>
      </c>
      <c r="D12" s="35">
        <f>IF(ISBLANK(B12),"",B12-C12-E12)</f>
        <v>171371084.34000003</v>
      </c>
      <c r="E12" s="35">
        <v>12734385.34</v>
      </c>
      <c r="F12" s="37">
        <v>4504</v>
      </c>
      <c r="G12" s="35">
        <f aca="true" t="shared" si="0" ref="G12:G63">IF(ISBLANK(B12),"",E12/F12/7)</f>
        <v>403.9071726719107</v>
      </c>
    </row>
    <row r="13" spans="1:7" ht="12.75">
      <c r="A13" s="44">
        <f aca="true" t="shared" si="1" ref="A13:A63">+A12+7</f>
        <v>45024</v>
      </c>
      <c r="B13" s="35">
        <v>180242896.13</v>
      </c>
      <c r="C13" s="35">
        <v>533148.7</v>
      </c>
      <c r="D13" s="35">
        <f>IF(ISBLANK(B13),"",B13-C13-E13)</f>
        <v>167226187.61</v>
      </c>
      <c r="E13" s="35">
        <v>12483559.82</v>
      </c>
      <c r="F13" s="37">
        <v>4504</v>
      </c>
      <c r="G13" s="35">
        <f t="shared" si="0"/>
        <v>395.95152943415377</v>
      </c>
    </row>
    <row r="14" spans="1:7" ht="12.75">
      <c r="A14" s="44">
        <f t="shared" si="1"/>
        <v>45031</v>
      </c>
      <c r="B14" s="35">
        <v>171313912.37</v>
      </c>
      <c r="C14" s="35">
        <v>971513.7400000001</v>
      </c>
      <c r="D14" s="35">
        <f aca="true" t="shared" si="2" ref="D14:D63">IF(ISBLANK(B14),"",B14-C14-E14)</f>
        <v>158512815.24</v>
      </c>
      <c r="E14" s="35">
        <v>11829583.389999999</v>
      </c>
      <c r="F14" s="37">
        <v>4504</v>
      </c>
      <c r="G14" s="35">
        <f t="shared" si="0"/>
        <v>375.20881089824917</v>
      </c>
    </row>
    <row r="15" spans="1:7" ht="12.75">
      <c r="A15" s="44">
        <f t="shared" si="1"/>
        <v>45038</v>
      </c>
      <c r="B15" s="35">
        <v>173948567.15</v>
      </c>
      <c r="C15" s="35">
        <v>1005607.5499999999</v>
      </c>
      <c r="D15" s="35">
        <f>IF(ISBLANK(B15),"",B15-C15-E15)</f>
        <v>161814032.18</v>
      </c>
      <c r="E15" s="35">
        <v>11128927.42</v>
      </c>
      <c r="F15" s="37">
        <v>4503</v>
      </c>
      <c r="G15" s="35">
        <f t="shared" si="0"/>
        <v>353.0639072364456</v>
      </c>
    </row>
    <row r="16" spans="1:7" ht="12.75">
      <c r="A16" s="44">
        <f t="shared" si="1"/>
        <v>45045</v>
      </c>
      <c r="B16" s="35">
        <v>178635257.84</v>
      </c>
      <c r="C16" s="35">
        <v>971063.28</v>
      </c>
      <c r="D16" s="35">
        <f>IF(ISBLANK(B16),"",B16-C16-E16)</f>
        <v>166182357.34</v>
      </c>
      <c r="E16" s="35">
        <v>11481837.219999999</v>
      </c>
      <c r="F16" s="37">
        <v>4502</v>
      </c>
      <c r="G16" s="35">
        <f t="shared" si="0"/>
        <v>364.34083962683246</v>
      </c>
    </row>
    <row r="17" spans="1:7" ht="12.75">
      <c r="A17" s="44">
        <f t="shared" si="1"/>
        <v>45052</v>
      </c>
      <c r="B17" s="35">
        <v>179664865.36</v>
      </c>
      <c r="C17" s="35">
        <v>916622.09</v>
      </c>
      <c r="D17" s="35">
        <f aca="true" t="shared" si="3" ref="D17:D35">IF(ISBLANK(B17),"",B17-C17-E17)</f>
        <v>166635135.41</v>
      </c>
      <c r="E17" s="35">
        <v>12113107.860000001</v>
      </c>
      <c r="F17" s="37">
        <v>4502</v>
      </c>
      <c r="G17" s="35">
        <f t="shared" si="0"/>
        <v>384.3722745446468</v>
      </c>
    </row>
    <row r="18" spans="1:7" ht="12.75">
      <c r="A18" s="44">
        <f t="shared" si="1"/>
        <v>45059</v>
      </c>
      <c r="B18" s="35">
        <v>172123930.32</v>
      </c>
      <c r="C18" s="35">
        <v>865160.3299999998</v>
      </c>
      <c r="D18" s="35">
        <f t="shared" si="3"/>
        <v>159566021.55999997</v>
      </c>
      <c r="E18" s="35">
        <v>11692748.429999996</v>
      </c>
      <c r="F18" s="37">
        <v>4502</v>
      </c>
      <c r="G18" s="35">
        <f t="shared" si="0"/>
        <v>371.03345909754387</v>
      </c>
    </row>
    <row r="19" spans="1:7" ht="12.75">
      <c r="A19" s="44">
        <f t="shared" si="1"/>
        <v>45066</v>
      </c>
      <c r="B19" s="35">
        <v>172613309.07</v>
      </c>
      <c r="C19" s="35">
        <v>373938.2399999999</v>
      </c>
      <c r="D19" s="35">
        <f t="shared" si="3"/>
        <v>159956621.45</v>
      </c>
      <c r="E19" s="35">
        <v>12282749.379999995</v>
      </c>
      <c r="F19" s="37">
        <v>4502</v>
      </c>
      <c r="G19" s="35">
        <f t="shared" si="0"/>
        <v>389.75532715618436</v>
      </c>
    </row>
    <row r="20" spans="1:7" ht="12.75">
      <c r="A20" s="44">
        <f t="shared" si="1"/>
        <v>45073</v>
      </c>
      <c r="B20" s="35">
        <v>175813986.67</v>
      </c>
      <c r="C20" s="35">
        <v>919296.8599999999</v>
      </c>
      <c r="D20" s="35">
        <f t="shared" si="3"/>
        <v>162987184.73</v>
      </c>
      <c r="E20" s="35">
        <v>11907505.079999996</v>
      </c>
      <c r="F20" s="37">
        <v>4502</v>
      </c>
      <c r="G20" s="35">
        <f t="shared" si="0"/>
        <v>377.84810179602704</v>
      </c>
    </row>
    <row r="21" spans="1:7" ht="12.75">
      <c r="A21" s="44">
        <f t="shared" si="1"/>
        <v>45080</v>
      </c>
      <c r="B21" s="35">
        <v>187294257.01999998</v>
      </c>
      <c r="C21" s="35">
        <v>910994.85</v>
      </c>
      <c r="D21" s="35">
        <f t="shared" si="3"/>
        <v>173574868.72</v>
      </c>
      <c r="E21" s="35">
        <v>12808393.450000001</v>
      </c>
      <c r="F21" s="37">
        <v>4466</v>
      </c>
      <c r="G21" s="35">
        <f t="shared" si="0"/>
        <v>409.71126127567015</v>
      </c>
    </row>
    <row r="22" spans="1:7" ht="12.75">
      <c r="A22" s="44">
        <f t="shared" si="1"/>
        <v>45087</v>
      </c>
      <c r="B22" s="35">
        <v>170849759.61</v>
      </c>
      <c r="C22" s="35">
        <v>903289.3799999999</v>
      </c>
      <c r="D22" s="35">
        <f t="shared" si="3"/>
        <v>158690774.53000003</v>
      </c>
      <c r="E22" s="35">
        <v>11255695.699999996</v>
      </c>
      <c r="F22" s="37">
        <v>4451</v>
      </c>
      <c r="G22" s="35">
        <f t="shared" si="0"/>
        <v>361.25736431620487</v>
      </c>
    </row>
    <row r="23" spans="1:7" ht="12.75">
      <c r="A23" s="44">
        <f t="shared" si="1"/>
        <v>45094</v>
      </c>
      <c r="B23" s="35">
        <v>169353503.20999998</v>
      </c>
      <c r="C23" s="35">
        <v>410596.27</v>
      </c>
      <c r="D23" s="35">
        <f t="shared" si="3"/>
        <v>157115750.04999995</v>
      </c>
      <c r="E23" s="35">
        <v>11827156.89</v>
      </c>
      <c r="F23" s="37">
        <v>4447</v>
      </c>
      <c r="G23" s="35">
        <f t="shared" si="0"/>
        <v>379.94014873590544</v>
      </c>
    </row>
    <row r="24" spans="1:7" ht="12.75">
      <c r="A24" s="44">
        <f t="shared" si="1"/>
        <v>45101</v>
      </c>
      <c r="B24" s="35">
        <v>172946480.51999998</v>
      </c>
      <c r="C24" s="35">
        <v>928740.9299999999</v>
      </c>
      <c r="D24" s="35">
        <f t="shared" si="3"/>
        <v>160012353.32999998</v>
      </c>
      <c r="E24" s="35">
        <v>12005386.259999998</v>
      </c>
      <c r="F24" s="37">
        <v>4443</v>
      </c>
      <c r="G24" s="35">
        <f t="shared" si="0"/>
        <v>386.0128696826468</v>
      </c>
    </row>
    <row r="25" spans="1:16" ht="12.75">
      <c r="A25" s="44">
        <f t="shared" si="1"/>
        <v>45108</v>
      </c>
      <c r="B25" s="35">
        <v>171427484.91</v>
      </c>
      <c r="C25" s="35">
        <v>1061878.3900000001</v>
      </c>
      <c r="D25" s="35">
        <f t="shared" si="3"/>
        <v>159172858.14000002</v>
      </c>
      <c r="E25" s="35">
        <v>11192748.38</v>
      </c>
      <c r="F25" s="37">
        <v>4443</v>
      </c>
      <c r="G25" s="35">
        <f t="shared" si="0"/>
        <v>359.8838744734896</v>
      </c>
      <c r="P25" s="36" t="s">
        <v>35</v>
      </c>
    </row>
    <row r="26" spans="1:7" ht="12.75">
      <c r="A26" s="44">
        <f t="shared" si="1"/>
        <v>45115</v>
      </c>
      <c r="B26" s="35">
        <v>186546736.06</v>
      </c>
      <c r="C26" s="35">
        <v>906437.3</v>
      </c>
      <c r="D26" s="35">
        <f t="shared" si="3"/>
        <v>172865032.22</v>
      </c>
      <c r="E26" s="35">
        <v>12775266.540000003</v>
      </c>
      <c r="F26" s="37">
        <v>4443</v>
      </c>
      <c r="G26" s="35">
        <f t="shared" si="0"/>
        <v>410.76706665380544</v>
      </c>
    </row>
    <row r="27" spans="1:7" ht="12.75">
      <c r="A27" s="44">
        <f t="shared" si="1"/>
        <v>45122</v>
      </c>
      <c r="B27" s="35">
        <v>163058645.94</v>
      </c>
      <c r="C27" s="35">
        <v>331971.5700000001</v>
      </c>
      <c r="D27" s="35">
        <f t="shared" si="3"/>
        <v>151359500.79</v>
      </c>
      <c r="E27" s="35">
        <v>11367173.58</v>
      </c>
      <c r="F27" s="37">
        <v>4432</v>
      </c>
      <c r="G27" s="35">
        <f t="shared" si="0"/>
        <v>366.39935469314076</v>
      </c>
    </row>
    <row r="28" spans="1:7" ht="12.75">
      <c r="A28" s="44">
        <f t="shared" si="1"/>
        <v>45129</v>
      </c>
      <c r="B28" s="35">
        <v>165491746.96</v>
      </c>
      <c r="C28" s="35">
        <v>874491.35</v>
      </c>
      <c r="D28" s="35">
        <f t="shared" si="3"/>
        <v>153829635.51000002</v>
      </c>
      <c r="E28" s="35">
        <v>10787620.099999996</v>
      </c>
      <c r="F28" s="37">
        <v>4424</v>
      </c>
      <c r="G28" s="35">
        <f t="shared" si="0"/>
        <v>348.3473295014207</v>
      </c>
    </row>
    <row r="29" spans="1:7" ht="12.75">
      <c r="A29" s="44">
        <f t="shared" si="1"/>
        <v>45136</v>
      </c>
      <c r="B29" s="35">
        <v>164021035.52</v>
      </c>
      <c r="C29" s="35">
        <v>895575.7000000001</v>
      </c>
      <c r="D29" s="35">
        <f t="shared" si="3"/>
        <v>152406678.28000003</v>
      </c>
      <c r="E29" s="35">
        <v>10718781.539999997</v>
      </c>
      <c r="F29" s="37">
        <v>4424</v>
      </c>
      <c r="G29" s="35">
        <f t="shared" si="0"/>
        <v>346.1244361921983</v>
      </c>
    </row>
    <row r="30" spans="1:7" ht="12.75">
      <c r="A30" s="44">
        <f t="shared" si="1"/>
        <v>45143</v>
      </c>
      <c r="B30" s="35">
        <v>175652858.45</v>
      </c>
      <c r="C30" s="35">
        <v>936382.94</v>
      </c>
      <c r="D30" s="35">
        <f t="shared" si="3"/>
        <v>162818291.26</v>
      </c>
      <c r="E30" s="35">
        <v>11898184.25</v>
      </c>
      <c r="F30" s="37">
        <v>4424</v>
      </c>
      <c r="G30" s="35">
        <f t="shared" si="0"/>
        <v>384.20899799793335</v>
      </c>
    </row>
    <row r="31" spans="1:7" ht="12.75">
      <c r="A31" s="44">
        <f t="shared" si="1"/>
        <v>45150</v>
      </c>
      <c r="B31" s="35">
        <v>161863682.02000004</v>
      </c>
      <c r="C31" s="35">
        <v>382910.86000000004</v>
      </c>
      <c r="D31" s="35">
        <f t="shared" si="3"/>
        <v>150012669.56000003</v>
      </c>
      <c r="E31" s="35">
        <v>11468101.600000001</v>
      </c>
      <c r="F31" s="37">
        <v>4424</v>
      </c>
      <c r="G31" s="35">
        <f t="shared" si="0"/>
        <v>370.3210281580987</v>
      </c>
    </row>
    <row r="32" spans="1:7" ht="12.75">
      <c r="A32" s="44">
        <f t="shared" si="1"/>
        <v>45157</v>
      </c>
      <c r="B32" s="35">
        <v>162153917.60999998</v>
      </c>
      <c r="C32" s="35">
        <v>910089.59</v>
      </c>
      <c r="D32" s="35">
        <f t="shared" si="3"/>
        <v>150448839.23</v>
      </c>
      <c r="E32" s="35">
        <v>10794988.789999995</v>
      </c>
      <c r="F32" s="37">
        <v>4424</v>
      </c>
      <c r="G32" s="35">
        <f t="shared" si="0"/>
        <v>348.5852747997932</v>
      </c>
    </row>
    <row r="33" spans="1:7" ht="12.75">
      <c r="A33" s="44">
        <f t="shared" si="1"/>
        <v>45164</v>
      </c>
      <c r="B33" s="35">
        <v>155293280.76999998</v>
      </c>
      <c r="C33" s="35">
        <v>759725.4000000001</v>
      </c>
      <c r="D33" s="35">
        <f t="shared" si="3"/>
        <v>144008427.32999998</v>
      </c>
      <c r="E33" s="35">
        <v>10525128.040000003</v>
      </c>
      <c r="F33" s="37">
        <v>4424</v>
      </c>
      <c r="G33" s="35">
        <f t="shared" si="0"/>
        <v>339.8710940325498</v>
      </c>
    </row>
    <row r="34" spans="1:7" ht="12.75">
      <c r="A34" s="44">
        <f t="shared" si="1"/>
        <v>45171</v>
      </c>
      <c r="B34" s="35">
        <v>167355628.06</v>
      </c>
      <c r="C34" s="35">
        <v>578847.63</v>
      </c>
      <c r="D34" s="35">
        <f t="shared" si="3"/>
        <v>155260010.58</v>
      </c>
      <c r="E34" s="35">
        <v>11516769.850000001</v>
      </c>
      <c r="F34" s="37">
        <v>4424</v>
      </c>
      <c r="G34" s="35">
        <f t="shared" si="0"/>
        <v>371.892593967967</v>
      </c>
    </row>
    <row r="35" spans="1:7" ht="12.75">
      <c r="A35" s="44">
        <f t="shared" si="1"/>
        <v>45178</v>
      </c>
      <c r="B35" s="35">
        <v>168883146.32000002</v>
      </c>
      <c r="C35" s="35">
        <v>684431.1900000001</v>
      </c>
      <c r="D35" s="35">
        <f t="shared" si="3"/>
        <v>156319805.46000004</v>
      </c>
      <c r="E35" s="35">
        <v>11878909.670000002</v>
      </c>
      <c r="F35" s="37">
        <v>4424</v>
      </c>
      <c r="G35" s="35">
        <f t="shared" si="0"/>
        <v>383.5865948721261</v>
      </c>
    </row>
    <row r="36" spans="1:7" ht="12.75">
      <c r="A36" s="44">
        <f t="shared" si="1"/>
        <v>45185</v>
      </c>
      <c r="B36" s="35">
        <v>146948446.31</v>
      </c>
      <c r="C36" s="62">
        <v>-160168.19999999995</v>
      </c>
      <c r="D36" s="35">
        <f t="shared" si="2"/>
        <v>136330935.79</v>
      </c>
      <c r="E36" s="35">
        <v>10777678.72</v>
      </c>
      <c r="F36" s="37">
        <v>4424</v>
      </c>
      <c r="G36" s="35">
        <f t="shared" si="0"/>
        <v>348.02630844742964</v>
      </c>
    </row>
    <row r="37" spans="1:7" ht="12.75">
      <c r="A37" s="44">
        <f t="shared" si="1"/>
        <v>45192</v>
      </c>
      <c r="B37" s="35">
        <v>136096372.65</v>
      </c>
      <c r="C37" s="35">
        <v>50013.310000000005</v>
      </c>
      <c r="D37" s="35">
        <f t="shared" si="2"/>
        <v>126118391.5</v>
      </c>
      <c r="E37" s="35">
        <v>9927967.840000002</v>
      </c>
      <c r="F37" s="37">
        <v>4422</v>
      </c>
      <c r="G37" s="35">
        <f t="shared" si="0"/>
        <v>320.7329534147445</v>
      </c>
    </row>
    <row r="38" spans="1:7" ht="12.75">
      <c r="A38" s="44">
        <f t="shared" si="1"/>
        <v>45199</v>
      </c>
      <c r="B38" s="35">
        <v>150674992.15</v>
      </c>
      <c r="C38" s="35">
        <v>750563.94</v>
      </c>
      <c r="D38" s="35">
        <f t="shared" si="2"/>
        <v>139911502.47</v>
      </c>
      <c r="E38" s="35">
        <v>10012925.739999998</v>
      </c>
      <c r="F38" s="37">
        <v>4420</v>
      </c>
      <c r="G38" s="35">
        <f t="shared" si="0"/>
        <v>323.6239734970911</v>
      </c>
    </row>
    <row r="39" spans="1:7" ht="12.75">
      <c r="A39" s="44">
        <f t="shared" si="1"/>
        <v>45206</v>
      </c>
      <c r="B39" s="61">
        <v>162054515.88</v>
      </c>
      <c r="C39" s="61">
        <v>782729.09</v>
      </c>
      <c r="D39" s="35">
        <f t="shared" si="2"/>
        <v>150726280.98999998</v>
      </c>
      <c r="E39" s="61">
        <v>10545505.799999999</v>
      </c>
      <c r="F39" s="37">
        <v>4422</v>
      </c>
      <c r="G39" s="35">
        <f t="shared" si="0"/>
        <v>340.68313626671835</v>
      </c>
    </row>
    <row r="40" spans="1:7" ht="12.75">
      <c r="A40" s="44">
        <f t="shared" si="1"/>
        <v>45213</v>
      </c>
      <c r="B40" s="35">
        <v>160178669.34</v>
      </c>
      <c r="C40" s="35">
        <v>767958.64</v>
      </c>
      <c r="D40" s="35">
        <f t="shared" si="2"/>
        <v>148690581.58</v>
      </c>
      <c r="E40" s="35">
        <v>10720129.120000001</v>
      </c>
      <c r="F40" s="37">
        <v>4423</v>
      </c>
      <c r="G40" s="35">
        <f t="shared" si="0"/>
        <v>346.24621685346085</v>
      </c>
    </row>
    <row r="41" spans="1:7" ht="12.75">
      <c r="A41" s="44">
        <f t="shared" si="1"/>
        <v>45220</v>
      </c>
      <c r="B41" s="35">
        <v>158534428.82</v>
      </c>
      <c r="C41" s="35">
        <v>327299.4799999999</v>
      </c>
      <c r="D41" s="35">
        <f t="shared" si="2"/>
        <v>146949837.56</v>
      </c>
      <c r="E41" s="35">
        <v>11257291.779999997</v>
      </c>
      <c r="F41" s="37">
        <v>4423</v>
      </c>
      <c r="G41" s="35">
        <f t="shared" si="0"/>
        <v>363.5958715803753</v>
      </c>
    </row>
    <row r="42" spans="1:7" ht="12.75">
      <c r="A42" s="44">
        <f t="shared" si="1"/>
        <v>45227</v>
      </c>
      <c r="B42" s="35">
        <v>163005944.69</v>
      </c>
      <c r="C42" s="35">
        <v>827976.18</v>
      </c>
      <c r="D42" s="35">
        <f t="shared" si="2"/>
        <v>151589032.58999997</v>
      </c>
      <c r="E42" s="35">
        <v>10588935.920000004</v>
      </c>
      <c r="F42" s="37">
        <v>4423</v>
      </c>
      <c r="G42" s="35">
        <f t="shared" si="0"/>
        <v>342.0088472594556</v>
      </c>
    </row>
    <row r="43" spans="1:7" ht="12.75">
      <c r="A43" s="44">
        <f t="shared" si="1"/>
        <v>45234</v>
      </c>
      <c r="B43" s="35">
        <v>166523371.62</v>
      </c>
      <c r="C43" s="35">
        <v>723804.46</v>
      </c>
      <c r="D43" s="35">
        <f t="shared" si="2"/>
        <v>154467619.58</v>
      </c>
      <c r="E43" s="35">
        <v>11331947.579999996</v>
      </c>
      <c r="F43" s="37">
        <v>4423</v>
      </c>
      <c r="G43" s="35">
        <f t="shared" si="0"/>
        <v>366.007156745583</v>
      </c>
    </row>
    <row r="44" spans="1:7" ht="12.75">
      <c r="A44" s="44">
        <f t="shared" si="1"/>
        <v>45241</v>
      </c>
      <c r="B44" s="35">
        <v>164450217.88</v>
      </c>
      <c r="C44" s="35">
        <v>758907.55</v>
      </c>
      <c r="D44" s="35">
        <f t="shared" si="2"/>
        <v>152459634.89</v>
      </c>
      <c r="E44" s="35">
        <v>11231675.44</v>
      </c>
      <c r="F44" s="37">
        <v>4423</v>
      </c>
      <c r="G44" s="35">
        <f t="shared" si="0"/>
        <v>362.76849714156515</v>
      </c>
    </row>
    <row r="45" spans="1:7" ht="12.75">
      <c r="A45" s="44">
        <f t="shared" si="1"/>
        <v>45248</v>
      </c>
      <c r="B45" s="35">
        <v>158815070.19</v>
      </c>
      <c r="C45" s="35">
        <v>447982.4099999999</v>
      </c>
      <c r="D45" s="35">
        <f t="shared" si="2"/>
        <v>147635878.33</v>
      </c>
      <c r="E45" s="35">
        <v>10731209.45</v>
      </c>
      <c r="F45" s="37">
        <v>4423</v>
      </c>
      <c r="G45" s="35">
        <f t="shared" si="0"/>
        <v>346.60409708988726</v>
      </c>
    </row>
    <row r="46" spans="1:7" ht="12.75">
      <c r="A46" s="44">
        <f t="shared" si="1"/>
        <v>45255</v>
      </c>
      <c r="B46" s="35">
        <v>162649775.39</v>
      </c>
      <c r="C46" s="35">
        <v>777273.83</v>
      </c>
      <c r="D46" s="35">
        <f t="shared" si="2"/>
        <v>150703504.50999996</v>
      </c>
      <c r="E46" s="35">
        <v>11168997.050000003</v>
      </c>
      <c r="F46" s="37">
        <v>4423</v>
      </c>
      <c r="G46" s="35">
        <f t="shared" si="0"/>
        <v>360.7440667291109</v>
      </c>
    </row>
    <row r="47" spans="1:7" ht="12.75">
      <c r="A47" s="44">
        <f t="shared" si="1"/>
        <v>45262</v>
      </c>
      <c r="B47" s="35">
        <v>156844571.45999998</v>
      </c>
      <c r="C47" s="35">
        <v>860767.6099999999</v>
      </c>
      <c r="D47" s="35">
        <f t="shared" si="2"/>
        <v>145892823.17999998</v>
      </c>
      <c r="E47" s="35">
        <v>10090980.669999998</v>
      </c>
      <c r="F47" s="37">
        <v>4423</v>
      </c>
      <c r="G47" s="35">
        <f t="shared" si="0"/>
        <v>325.925540841704</v>
      </c>
    </row>
    <row r="48" spans="1:7" ht="12.75">
      <c r="A48" s="44">
        <f t="shared" si="1"/>
        <v>45269</v>
      </c>
      <c r="B48" s="35">
        <v>157597076.03000003</v>
      </c>
      <c r="C48" s="35">
        <v>586971.59</v>
      </c>
      <c r="D48" s="35">
        <f t="shared" si="2"/>
        <v>146555593.30000004</v>
      </c>
      <c r="E48" s="35">
        <v>10454511.139999997</v>
      </c>
      <c r="F48" s="37">
        <v>4423</v>
      </c>
      <c r="G48" s="35">
        <f t="shared" si="0"/>
        <v>337.6671018377959</v>
      </c>
    </row>
    <row r="49" spans="1:7" ht="12.75">
      <c r="A49" s="44">
        <f t="shared" si="1"/>
        <v>45276</v>
      </c>
      <c r="B49" s="35">
        <v>153533830.18</v>
      </c>
      <c r="C49" s="62">
        <v>190967.39</v>
      </c>
      <c r="D49" s="35">
        <f t="shared" si="2"/>
        <v>142458824.82000002</v>
      </c>
      <c r="E49" s="35">
        <v>10884037.969999999</v>
      </c>
      <c r="F49" s="37">
        <v>4423</v>
      </c>
      <c r="G49" s="35">
        <f t="shared" si="0"/>
        <v>351.5402593585478</v>
      </c>
    </row>
    <row r="50" spans="1:7" ht="12.75">
      <c r="A50" s="44">
        <f t="shared" si="1"/>
        <v>45283</v>
      </c>
      <c r="B50" s="35">
        <v>152681794.54</v>
      </c>
      <c r="C50" s="35">
        <v>531118.87</v>
      </c>
      <c r="D50" s="35">
        <f t="shared" si="2"/>
        <v>142365423.39999998</v>
      </c>
      <c r="E50" s="35">
        <v>9785252.27</v>
      </c>
      <c r="F50" s="37">
        <v>4423</v>
      </c>
      <c r="G50" s="35">
        <f t="shared" si="0"/>
        <v>316.05091146926776</v>
      </c>
    </row>
    <row r="51" spans="1:7" ht="12.75">
      <c r="A51" s="44">
        <f t="shared" si="1"/>
        <v>45290</v>
      </c>
      <c r="B51" s="35">
        <v>184579131.42</v>
      </c>
      <c r="C51" s="35">
        <v>695461.54</v>
      </c>
      <c r="D51" s="35">
        <f t="shared" si="2"/>
        <v>171048509.79999998</v>
      </c>
      <c r="E51" s="35">
        <v>12835160.08</v>
      </c>
      <c r="F51" s="37">
        <v>4423</v>
      </c>
      <c r="G51" s="35">
        <f t="shared" si="0"/>
        <v>414.55896385775657</v>
      </c>
    </row>
    <row r="52" spans="1:7" ht="12.75">
      <c r="A52" s="44">
        <f t="shared" si="1"/>
        <v>45297</v>
      </c>
      <c r="B52" s="35">
        <v>162750406.25000003</v>
      </c>
      <c r="C52" s="35">
        <v>720137.35</v>
      </c>
      <c r="D52" s="35">
        <f t="shared" si="2"/>
        <v>150811386.26100004</v>
      </c>
      <c r="E52" s="35">
        <v>11218882.639</v>
      </c>
      <c r="F52" s="37">
        <v>4423</v>
      </c>
      <c r="G52" s="35">
        <f t="shared" si="0"/>
        <v>362.3553063208553</v>
      </c>
    </row>
    <row r="53" spans="1:7" ht="12.75">
      <c r="A53" s="44">
        <f t="shared" si="1"/>
        <v>45304</v>
      </c>
      <c r="B53" s="35">
        <v>151118355.59</v>
      </c>
      <c r="C53" s="62">
        <v>672504.34</v>
      </c>
      <c r="D53" s="35">
        <f t="shared" si="2"/>
        <v>140346426.38</v>
      </c>
      <c r="E53" s="35">
        <v>10099424.869999997</v>
      </c>
      <c r="F53" s="37">
        <v>4423</v>
      </c>
      <c r="G53" s="35">
        <f t="shared" si="0"/>
        <v>326.19827751041623</v>
      </c>
    </row>
    <row r="54" spans="1:7" ht="12.75">
      <c r="A54" s="44">
        <f t="shared" si="1"/>
        <v>45311</v>
      </c>
      <c r="B54" s="35">
        <v>147472852.66</v>
      </c>
      <c r="C54" s="35">
        <v>267003.16999999987</v>
      </c>
      <c r="D54" s="35">
        <f t="shared" si="2"/>
        <v>137309271.91</v>
      </c>
      <c r="E54" s="35">
        <v>9896577.58</v>
      </c>
      <c r="F54" s="37">
        <v>4423</v>
      </c>
      <c r="G54" s="35">
        <f t="shared" si="0"/>
        <v>319.64657407706466</v>
      </c>
    </row>
    <row r="55" spans="1:7" ht="12.75">
      <c r="A55" s="44">
        <f t="shared" si="1"/>
        <v>45318</v>
      </c>
      <c r="B55" s="35">
        <v>162126137.7</v>
      </c>
      <c r="C55" s="35">
        <v>691874.6499999999</v>
      </c>
      <c r="D55" s="35">
        <f t="shared" si="2"/>
        <v>151098014.60999998</v>
      </c>
      <c r="E55" s="35">
        <v>10336248.439999996</v>
      </c>
      <c r="F55" s="37">
        <v>4423</v>
      </c>
      <c r="G55" s="35">
        <f t="shared" si="0"/>
        <v>333.8473705629662</v>
      </c>
    </row>
    <row r="56" spans="1:7" ht="12.75">
      <c r="A56" s="44">
        <f t="shared" si="1"/>
        <v>45325</v>
      </c>
      <c r="B56" s="35">
        <v>173334696.48000002</v>
      </c>
      <c r="C56" s="35">
        <v>751016.1799999999</v>
      </c>
      <c r="D56" s="35">
        <f t="shared" si="2"/>
        <v>161453644.34</v>
      </c>
      <c r="E56" s="35">
        <v>11130035.959999999</v>
      </c>
      <c r="F56" s="37">
        <v>4423</v>
      </c>
      <c r="G56" s="35">
        <f t="shared" si="0"/>
        <v>359.48567423532825</v>
      </c>
    </row>
    <row r="57" spans="1:7" ht="12.75">
      <c r="A57" s="44">
        <f t="shared" si="1"/>
        <v>45332</v>
      </c>
      <c r="B57" s="35">
        <v>166924842.7</v>
      </c>
      <c r="C57" s="35">
        <v>621882.7900000002</v>
      </c>
      <c r="D57" s="35">
        <f t="shared" si="2"/>
        <v>155025878.29999998</v>
      </c>
      <c r="E57" s="35">
        <v>11277081.610000003</v>
      </c>
      <c r="F57" s="37">
        <v>4423</v>
      </c>
      <c r="G57" s="35">
        <f t="shared" si="0"/>
        <v>364.2350573301897</v>
      </c>
    </row>
    <row r="58" spans="1:7" ht="12.75">
      <c r="A58" s="44">
        <f t="shared" si="1"/>
        <v>45339</v>
      </c>
      <c r="B58" s="35">
        <v>160733913.12</v>
      </c>
      <c r="C58" s="35">
        <v>319702.56</v>
      </c>
      <c r="D58" s="35">
        <f t="shared" si="2"/>
        <v>148976777.26</v>
      </c>
      <c r="E58" s="35">
        <v>11437433.299999999</v>
      </c>
      <c r="F58" s="37">
        <v>4425</v>
      </c>
      <c r="G58" s="35">
        <f t="shared" si="0"/>
        <v>369.2472413236481</v>
      </c>
    </row>
    <row r="59" spans="1:7" ht="12.75">
      <c r="A59" s="44">
        <f t="shared" si="1"/>
        <v>45346</v>
      </c>
      <c r="B59" s="35">
        <v>187442395.07999998</v>
      </c>
      <c r="C59" s="35">
        <v>733572.04</v>
      </c>
      <c r="D59" s="35">
        <f t="shared" si="2"/>
        <v>173761125.73</v>
      </c>
      <c r="E59" s="35">
        <v>12947697.309999999</v>
      </c>
      <c r="F59" s="37">
        <v>4425</v>
      </c>
      <c r="G59" s="35">
        <f t="shared" si="0"/>
        <v>418.0047557707829</v>
      </c>
    </row>
    <row r="60" spans="1:7" ht="12.75">
      <c r="A60" s="44">
        <f t="shared" si="1"/>
        <v>45353</v>
      </c>
      <c r="B60" s="35">
        <v>186405350.85</v>
      </c>
      <c r="C60" s="35">
        <v>677967.39</v>
      </c>
      <c r="D60" s="35">
        <f t="shared" si="2"/>
        <v>172542169.27</v>
      </c>
      <c r="E60" s="35">
        <v>13185214.190000005</v>
      </c>
      <c r="F60" s="37">
        <v>4425</v>
      </c>
      <c r="G60" s="35">
        <f t="shared" si="0"/>
        <v>425.6727744955611</v>
      </c>
    </row>
    <row r="61" spans="1:7" ht="12.75">
      <c r="A61" s="44">
        <f t="shared" si="1"/>
        <v>45360</v>
      </c>
      <c r="B61" s="35">
        <v>178056222.49</v>
      </c>
      <c r="C61" s="35">
        <v>685044.8200000001</v>
      </c>
      <c r="D61" s="35">
        <f t="shared" si="2"/>
        <v>165852116.38000003</v>
      </c>
      <c r="E61" s="35">
        <v>11519061.290000001</v>
      </c>
      <c r="F61" s="37">
        <v>4425</v>
      </c>
      <c r="G61" s="35">
        <f t="shared" si="0"/>
        <v>371.88252752219535</v>
      </c>
    </row>
    <row r="62" spans="1:7" ht="12.75">
      <c r="A62" s="44">
        <f t="shared" si="1"/>
        <v>45367</v>
      </c>
      <c r="B62" s="35">
        <v>178716241.19000003</v>
      </c>
      <c r="C62" s="35">
        <v>644074.4299999999</v>
      </c>
      <c r="D62" s="35">
        <f t="shared" si="2"/>
        <v>165668378.34</v>
      </c>
      <c r="E62" s="35">
        <v>12403788.420000004</v>
      </c>
      <c r="F62" s="37">
        <v>4425</v>
      </c>
      <c r="G62" s="35">
        <f t="shared" si="0"/>
        <v>400.445146731235</v>
      </c>
    </row>
    <row r="63" spans="1:7" ht="12.75">
      <c r="A63" s="44">
        <f t="shared" si="1"/>
        <v>45374</v>
      </c>
      <c r="B63" s="35">
        <v>165648968.33</v>
      </c>
      <c r="C63" s="35">
        <v>351203.29000000004</v>
      </c>
      <c r="D63" s="35">
        <f t="shared" si="2"/>
        <v>153956004.89000002</v>
      </c>
      <c r="E63" s="35">
        <v>11341760.150000002</v>
      </c>
      <c r="F63" s="37">
        <v>4425</v>
      </c>
      <c r="G63" s="35">
        <f t="shared" si="0"/>
        <v>366.1585197740114</v>
      </c>
    </row>
    <row r="64" ht="12.75">
      <c r="A64" s="44"/>
    </row>
    <row r="65" ht="12.75">
      <c r="A65" s="44"/>
    </row>
    <row r="66" spans="1:7" ht="13.5" thickBot="1">
      <c r="A66" s="38" t="s">
        <v>8</v>
      </c>
      <c r="B66" s="17">
        <f>IF(SUM(B12:B65)=0,"",SUM(B12:B65))</f>
        <v>8686978657.65</v>
      </c>
      <c r="C66" s="17">
        <f>IF(SUM(C12:C65)=0,"",SUM(C12:C65))</f>
        <v>34514033.92999999</v>
      </c>
      <c r="D66" s="17">
        <f>IF(SUM(D12:D65)=0,"",SUM(D12:D65))</f>
        <v>8062852502.811002</v>
      </c>
      <c r="E66" s="17">
        <f>IF(SUM(E12:E65)=0,"",SUM(E12:E65))</f>
        <v>589612120.9089998</v>
      </c>
      <c r="F66" s="24">
        <f>_xlfn.IFERROR(SUM(F12:F65)/COUNT(F12:F65)," ")</f>
        <v>4440.2692307692305</v>
      </c>
      <c r="G66" s="42">
        <f>_xlfn.IFERROR(E66/SUM(F12:F64)/7," ")</f>
        <v>364.80074400807285</v>
      </c>
    </row>
    <row r="67" spans="1:5" s="39" customFormat="1" ht="13.5" thickTop="1">
      <c r="A67" s="41"/>
      <c r="B67" s="40"/>
      <c r="C67" s="40"/>
      <c r="D67" s="40"/>
      <c r="E67" s="4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A1">
      <pane ySplit="10" topLeftCell="A38" activePane="bottomLeft" state="frozen"/>
      <selection pane="topLeft" activeCell="A1" sqref="A1"/>
      <selection pane="bottomLeft" activeCell="F64" sqref="F64"/>
    </sheetView>
  </sheetViews>
  <sheetFormatPr defaultColWidth="9.140625" defaultRowHeight="12.75"/>
  <cols>
    <col min="1" max="1" width="16.00390625" style="38" customWidth="1"/>
    <col min="2" max="5" width="16.00390625" style="35" customWidth="1"/>
    <col min="6" max="6" width="16.00390625" style="37" customWidth="1"/>
    <col min="7" max="7" width="16.00390625" style="35" customWidth="1"/>
    <col min="8" max="16384" width="9.140625" style="36" customWidth="1"/>
  </cols>
  <sheetData>
    <row r="1" spans="1:8" ht="18">
      <c r="A1" s="63" t="s">
        <v>15</v>
      </c>
      <c r="B1" s="63"/>
      <c r="C1" s="63"/>
      <c r="D1" s="63"/>
      <c r="E1" s="63"/>
      <c r="F1" s="63"/>
      <c r="G1" s="63"/>
      <c r="H1" s="60"/>
    </row>
    <row r="2" spans="1:8" ht="15">
      <c r="A2" s="64" t="s">
        <v>16</v>
      </c>
      <c r="B2" s="64"/>
      <c r="C2" s="64"/>
      <c r="D2" s="64"/>
      <c r="E2" s="64"/>
      <c r="F2" s="64"/>
      <c r="G2" s="64"/>
      <c r="H2" s="59"/>
    </row>
    <row r="3" spans="1:8" s="52" customFormat="1" ht="15">
      <c r="A3" s="64" t="s">
        <v>17</v>
      </c>
      <c r="B3" s="64"/>
      <c r="C3" s="64"/>
      <c r="D3" s="64"/>
      <c r="E3" s="64"/>
      <c r="F3" s="64"/>
      <c r="G3" s="64"/>
      <c r="H3" s="59"/>
    </row>
    <row r="4" spans="1:8" s="52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52" customFormat="1" ht="14.25">
      <c r="A5" s="66" t="s">
        <v>19</v>
      </c>
      <c r="B5" s="66"/>
      <c r="C5" s="66"/>
      <c r="D5" s="66"/>
      <c r="E5" s="66"/>
      <c r="F5" s="66"/>
      <c r="G5" s="66"/>
      <c r="H5" s="58"/>
    </row>
    <row r="6" spans="1:8" s="52" customFormat="1" ht="14.25">
      <c r="A6" s="57"/>
      <c r="B6" s="57"/>
      <c r="C6" s="57"/>
      <c r="D6" s="57"/>
      <c r="E6" s="57"/>
      <c r="F6" s="57"/>
      <c r="G6" s="57"/>
      <c r="H6" s="57"/>
    </row>
    <row r="7" spans="1:7" s="56" customFormat="1" ht="14.25" customHeight="1">
      <c r="A7" s="67" t="s">
        <v>34</v>
      </c>
      <c r="B7" s="68"/>
      <c r="C7" s="68"/>
      <c r="D7" s="68"/>
      <c r="E7" s="68"/>
      <c r="F7" s="68"/>
      <c r="G7" s="69"/>
    </row>
    <row r="8" spans="1:7" s="52" customFormat="1" ht="9" customHeight="1">
      <c r="A8" s="38"/>
      <c r="B8" s="55"/>
      <c r="C8" s="55"/>
      <c r="D8" s="55"/>
      <c r="E8" s="53"/>
      <c r="F8" s="54"/>
      <c r="G8" s="53"/>
    </row>
    <row r="9" spans="1:7" s="45" customFormat="1" ht="12">
      <c r="A9" s="51"/>
      <c r="B9" s="49" t="s">
        <v>0</v>
      </c>
      <c r="C9" s="49" t="s">
        <v>21</v>
      </c>
      <c r="D9" s="49" t="s">
        <v>0</v>
      </c>
      <c r="E9" s="49"/>
      <c r="F9" s="50" t="s">
        <v>1</v>
      </c>
      <c r="G9" s="49" t="s">
        <v>2</v>
      </c>
    </row>
    <row r="10" spans="1:7" s="45" customFormat="1" ht="12">
      <c r="A10" s="48" t="s">
        <v>11</v>
      </c>
      <c r="B10" s="46" t="s">
        <v>3</v>
      </c>
      <c r="C10" s="46" t="s">
        <v>24</v>
      </c>
      <c r="D10" s="46" t="s">
        <v>4</v>
      </c>
      <c r="E10" s="46" t="s">
        <v>5</v>
      </c>
      <c r="F10" s="47" t="s">
        <v>6</v>
      </c>
      <c r="G10" s="46" t="s">
        <v>7</v>
      </c>
    </row>
    <row r="12" spans="1:7" ht="12.75">
      <c r="A12" s="22">
        <v>44653</v>
      </c>
      <c r="B12" s="35">
        <v>196244672.64</v>
      </c>
      <c r="C12" s="35">
        <v>780702.5899999999</v>
      </c>
      <c r="D12" s="35">
        <f>IF(ISBLANK(B12),"",B12-C12-E12)</f>
        <v>182250959.20999998</v>
      </c>
      <c r="E12" s="35">
        <v>13213010.840000002</v>
      </c>
      <c r="F12" s="37">
        <v>4683</v>
      </c>
      <c r="G12" s="35">
        <f aca="true" t="shared" si="0" ref="G12:G63">IF(ISBLANK(B12),"",E12/F12/7)</f>
        <v>403.0691815380861</v>
      </c>
    </row>
    <row r="13" spans="1:7" ht="12.75">
      <c r="A13" s="44">
        <f aca="true" t="shared" si="1" ref="A13:A63">+A12+7</f>
        <v>44660</v>
      </c>
      <c r="B13" s="35">
        <v>184099930.86</v>
      </c>
      <c r="C13" s="35">
        <v>673320.5299999999</v>
      </c>
      <c r="D13" s="35">
        <f>IF(ISBLANK(B13),"",B13-C13-E13)</f>
        <v>171282774.06</v>
      </c>
      <c r="E13" s="35">
        <v>12143836.27</v>
      </c>
      <c r="F13" s="37">
        <v>4683</v>
      </c>
      <c r="G13" s="35">
        <f t="shared" si="0"/>
        <v>370.4535026387236</v>
      </c>
    </row>
    <row r="14" spans="1:7" ht="12.75">
      <c r="A14" s="44">
        <f t="shared" si="1"/>
        <v>44667</v>
      </c>
      <c r="B14" s="35">
        <v>180803588.63</v>
      </c>
      <c r="C14" s="35">
        <v>656109.08</v>
      </c>
      <c r="D14" s="35">
        <f aca="true" t="shared" si="2" ref="D14:D63">IF(ISBLANK(B14),"",B14-C14-E14)</f>
        <v>168217900.54999998</v>
      </c>
      <c r="E14" s="35">
        <v>11929578.999999996</v>
      </c>
      <c r="F14" s="37">
        <v>4683</v>
      </c>
      <c r="G14" s="35">
        <f t="shared" si="0"/>
        <v>363.91748268814246</v>
      </c>
    </row>
    <row r="15" spans="1:7" ht="12.75">
      <c r="A15" s="44">
        <f t="shared" si="1"/>
        <v>44674</v>
      </c>
      <c r="B15" s="35">
        <v>183140220.45999998</v>
      </c>
      <c r="C15" s="35">
        <v>767488.4500000001</v>
      </c>
      <c r="D15" s="35">
        <f>IF(ISBLANK(B15),"",B15-C15-E15)</f>
        <v>169503526.31</v>
      </c>
      <c r="E15" s="35">
        <v>12869205.700000003</v>
      </c>
      <c r="F15" s="37">
        <v>4572</v>
      </c>
      <c r="G15" s="35">
        <f t="shared" si="0"/>
        <v>402.1124140732409</v>
      </c>
    </row>
    <row r="16" spans="1:7" ht="12.75">
      <c r="A16" s="44">
        <f t="shared" si="1"/>
        <v>44681</v>
      </c>
      <c r="B16" s="35">
        <v>189439048.09000003</v>
      </c>
      <c r="C16" s="35">
        <v>683405.9700000001</v>
      </c>
      <c r="D16" s="35">
        <f>IF(ISBLANK(B16),"",B16-C16-E16)</f>
        <v>176683696.56000003</v>
      </c>
      <c r="E16" s="35">
        <v>12071945.560000006</v>
      </c>
      <c r="F16" s="37">
        <v>4566</v>
      </c>
      <c r="G16" s="35">
        <f t="shared" si="0"/>
        <v>377.6968137162883</v>
      </c>
    </row>
    <row r="17" spans="1:7" ht="12.75">
      <c r="A17" s="44">
        <f t="shared" si="1"/>
        <v>44688</v>
      </c>
      <c r="B17" s="35">
        <v>189938601.43000004</v>
      </c>
      <c r="C17" s="35">
        <v>836631.0800000001</v>
      </c>
      <c r="D17" s="35">
        <f aca="true" t="shared" si="3" ref="D17:D35">IF(ISBLANK(B17),"",B17-C17-E17)</f>
        <v>176834737.47000003</v>
      </c>
      <c r="E17" s="35">
        <v>12267232.880000005</v>
      </c>
      <c r="F17" s="37">
        <v>4575</v>
      </c>
      <c r="G17" s="35">
        <f t="shared" si="0"/>
        <v>383.05176830601107</v>
      </c>
    </row>
    <row r="18" spans="1:7" ht="12.75">
      <c r="A18" s="44">
        <f t="shared" si="1"/>
        <v>44695</v>
      </c>
      <c r="B18" s="35">
        <v>189580059.95000002</v>
      </c>
      <c r="C18" s="35">
        <v>629711.64</v>
      </c>
      <c r="D18" s="35">
        <f t="shared" si="3"/>
        <v>176117384.07000002</v>
      </c>
      <c r="E18" s="35">
        <v>12832964.239999998</v>
      </c>
      <c r="F18" s="37">
        <v>4575</v>
      </c>
      <c r="G18" s="35">
        <f t="shared" si="0"/>
        <v>400.7170722872755</v>
      </c>
    </row>
    <row r="19" spans="1:7" ht="12.75">
      <c r="A19" s="44">
        <f t="shared" si="1"/>
        <v>44702</v>
      </c>
      <c r="B19" s="35">
        <v>176717521.63</v>
      </c>
      <c r="C19" s="35">
        <v>636830.9500000001</v>
      </c>
      <c r="D19" s="35">
        <f t="shared" si="3"/>
        <v>165200427.54000002</v>
      </c>
      <c r="E19" s="35">
        <v>10880263.139999995</v>
      </c>
      <c r="F19" s="37">
        <v>4610</v>
      </c>
      <c r="G19" s="35">
        <f t="shared" si="0"/>
        <v>337.1634068794545</v>
      </c>
    </row>
    <row r="20" spans="1:7" ht="12.75">
      <c r="A20" s="44">
        <f t="shared" si="1"/>
        <v>44709</v>
      </c>
      <c r="B20" s="35">
        <v>178831122.58</v>
      </c>
      <c r="C20" s="35">
        <v>597015.86</v>
      </c>
      <c r="D20" s="35">
        <f t="shared" si="3"/>
        <v>166386804.08</v>
      </c>
      <c r="E20" s="35">
        <v>11847302.639999997</v>
      </c>
      <c r="F20" s="37">
        <v>4631</v>
      </c>
      <c r="G20" s="35">
        <f t="shared" si="0"/>
        <v>365.4657321775611</v>
      </c>
    </row>
    <row r="21" spans="1:7" ht="12.75">
      <c r="A21" s="44">
        <f t="shared" si="1"/>
        <v>44716</v>
      </c>
      <c r="B21" s="35">
        <v>188106050.19</v>
      </c>
      <c r="C21" s="35">
        <v>747970.69</v>
      </c>
      <c r="D21" s="35">
        <f t="shared" si="3"/>
        <v>174429180.85</v>
      </c>
      <c r="E21" s="35">
        <v>12928898.650000002</v>
      </c>
      <c r="F21" s="37">
        <v>4631</v>
      </c>
      <c r="G21" s="35">
        <f t="shared" si="0"/>
        <v>398.8308187062344</v>
      </c>
    </row>
    <row r="22" spans="1:7" ht="12.75">
      <c r="A22" s="44">
        <f t="shared" si="1"/>
        <v>44723</v>
      </c>
      <c r="B22" s="35">
        <v>178324659.3</v>
      </c>
      <c r="C22" s="35">
        <v>606442.89</v>
      </c>
      <c r="D22" s="35">
        <f t="shared" si="3"/>
        <v>165964290.26000002</v>
      </c>
      <c r="E22" s="35">
        <v>11753926.150000002</v>
      </c>
      <c r="F22" s="37">
        <v>4631</v>
      </c>
      <c r="G22" s="35">
        <f t="shared" si="0"/>
        <v>362.58525310793726</v>
      </c>
    </row>
    <row r="23" spans="1:7" ht="12.75">
      <c r="A23" s="44">
        <f t="shared" si="1"/>
        <v>44730</v>
      </c>
      <c r="B23" s="35">
        <v>174834784.13000003</v>
      </c>
      <c r="C23" s="35">
        <v>611441.7099999998</v>
      </c>
      <c r="D23" s="35">
        <f t="shared" si="3"/>
        <v>162738613.38000003</v>
      </c>
      <c r="E23" s="35">
        <v>11484729.040000001</v>
      </c>
      <c r="F23" s="37">
        <v>4631</v>
      </c>
      <c r="G23" s="35">
        <f t="shared" si="0"/>
        <v>354.2810574698461</v>
      </c>
    </row>
    <row r="24" spans="1:7" ht="12.75">
      <c r="A24" s="44">
        <f t="shared" si="1"/>
        <v>44737</v>
      </c>
      <c r="B24" s="35">
        <v>178331903.6</v>
      </c>
      <c r="C24" s="35">
        <v>653435.4199999999</v>
      </c>
      <c r="D24" s="35">
        <f t="shared" si="3"/>
        <v>166171962.02</v>
      </c>
      <c r="E24" s="35">
        <v>11506506.16</v>
      </c>
      <c r="F24" s="37">
        <v>4631</v>
      </c>
      <c r="G24" s="35">
        <f t="shared" si="0"/>
        <v>354.95283832556987</v>
      </c>
    </row>
    <row r="25" spans="1:16" ht="12.75">
      <c r="A25" s="44">
        <f t="shared" si="1"/>
        <v>44744</v>
      </c>
      <c r="B25" s="35">
        <v>178719367.09</v>
      </c>
      <c r="C25" s="35">
        <v>292991.88</v>
      </c>
      <c r="D25" s="35">
        <f t="shared" si="3"/>
        <v>166269395.29000002</v>
      </c>
      <c r="E25" s="35">
        <v>12156979.919999996</v>
      </c>
      <c r="F25" s="37">
        <v>4622</v>
      </c>
      <c r="G25" s="35">
        <f t="shared" si="0"/>
        <v>375.74890029053586</v>
      </c>
      <c r="P25" s="36" t="s">
        <v>35</v>
      </c>
    </row>
    <row r="26" spans="1:7" ht="12.75">
      <c r="A26" s="44">
        <f t="shared" si="1"/>
        <v>44751</v>
      </c>
      <c r="B26" s="35">
        <v>192114472.82999998</v>
      </c>
      <c r="C26" s="35">
        <v>941306.3</v>
      </c>
      <c r="D26" s="35">
        <f t="shared" si="3"/>
        <v>178718470.12999997</v>
      </c>
      <c r="E26" s="35">
        <v>12454696.399999997</v>
      </c>
      <c r="F26" s="37">
        <v>4617</v>
      </c>
      <c r="G26" s="35">
        <f t="shared" si="0"/>
        <v>385.3676289489154</v>
      </c>
    </row>
    <row r="27" spans="1:7" ht="12.75">
      <c r="A27" s="44">
        <f t="shared" si="1"/>
        <v>44758</v>
      </c>
      <c r="B27" s="35">
        <v>176427290.14</v>
      </c>
      <c r="C27" s="35">
        <v>655695.11</v>
      </c>
      <c r="D27" s="35">
        <f t="shared" si="3"/>
        <v>164842337.99999997</v>
      </c>
      <c r="E27" s="35">
        <v>10929257.029999992</v>
      </c>
      <c r="F27" s="37">
        <v>4622</v>
      </c>
      <c r="G27" s="35">
        <f t="shared" si="0"/>
        <v>337.8023437596585</v>
      </c>
    </row>
    <row r="28" spans="1:7" ht="12.75">
      <c r="A28" s="44">
        <f t="shared" si="1"/>
        <v>44765</v>
      </c>
      <c r="B28" s="35">
        <v>175849206.20999998</v>
      </c>
      <c r="C28" s="35">
        <v>712303.59</v>
      </c>
      <c r="D28" s="35">
        <f t="shared" si="3"/>
        <v>163836002.67</v>
      </c>
      <c r="E28" s="35">
        <v>11300899.949999997</v>
      </c>
      <c r="F28" s="37">
        <v>4623</v>
      </c>
      <c r="G28" s="35">
        <f t="shared" si="0"/>
        <v>349.2135579864651</v>
      </c>
    </row>
    <row r="29" spans="1:7" ht="12.75">
      <c r="A29" s="44">
        <f t="shared" si="1"/>
        <v>44772</v>
      </c>
      <c r="B29" s="35">
        <v>181833720.48</v>
      </c>
      <c r="C29" s="35">
        <v>602357.98</v>
      </c>
      <c r="D29" s="35">
        <f t="shared" si="3"/>
        <v>169521401.48</v>
      </c>
      <c r="E29" s="35">
        <v>11709961.02</v>
      </c>
      <c r="F29" s="37">
        <v>4623</v>
      </c>
      <c r="G29" s="35">
        <f t="shared" si="0"/>
        <v>361.8541151385927</v>
      </c>
    </row>
    <row r="30" spans="1:7" ht="12.75">
      <c r="A30" s="44">
        <f t="shared" si="1"/>
        <v>44779</v>
      </c>
      <c r="B30" s="35">
        <v>185111804.12</v>
      </c>
      <c r="C30" s="35">
        <v>889514.6799999999</v>
      </c>
      <c r="D30" s="35">
        <f t="shared" si="3"/>
        <v>172240660.91</v>
      </c>
      <c r="E30" s="35">
        <v>11981628.529999994</v>
      </c>
      <c r="F30" s="37">
        <v>4623</v>
      </c>
      <c r="G30" s="35">
        <f t="shared" si="0"/>
        <v>370.2490198077931</v>
      </c>
    </row>
    <row r="31" spans="1:7" ht="12.75">
      <c r="A31" s="44">
        <f t="shared" si="1"/>
        <v>44786</v>
      </c>
      <c r="B31" s="35">
        <v>181363580.78</v>
      </c>
      <c r="C31" s="35">
        <v>739375.87</v>
      </c>
      <c r="D31" s="35">
        <f t="shared" si="3"/>
        <v>169107095.42</v>
      </c>
      <c r="E31" s="35">
        <v>11517109.489999998</v>
      </c>
      <c r="F31" s="37">
        <v>4623</v>
      </c>
      <c r="G31" s="35">
        <f t="shared" si="0"/>
        <v>355.89473409350757</v>
      </c>
    </row>
    <row r="32" spans="1:7" ht="12.75">
      <c r="A32" s="44">
        <f t="shared" si="1"/>
        <v>44793</v>
      </c>
      <c r="B32" s="35">
        <v>177791271.04999998</v>
      </c>
      <c r="C32" s="35">
        <v>793377.34</v>
      </c>
      <c r="D32" s="35">
        <f t="shared" si="3"/>
        <v>166072521.08999997</v>
      </c>
      <c r="E32" s="35">
        <v>10925372.62</v>
      </c>
      <c r="F32" s="37">
        <v>4623</v>
      </c>
      <c r="G32" s="35">
        <f t="shared" si="0"/>
        <v>337.60924013473004</v>
      </c>
    </row>
    <row r="33" spans="1:7" ht="12.75">
      <c r="A33" s="44">
        <f t="shared" si="1"/>
        <v>44800</v>
      </c>
      <c r="B33" s="35">
        <v>180792873.23000002</v>
      </c>
      <c r="C33" s="35">
        <v>763750.9299999999</v>
      </c>
      <c r="D33" s="35">
        <f t="shared" si="3"/>
        <v>168478819.27</v>
      </c>
      <c r="E33" s="35">
        <v>11550303.029999997</v>
      </c>
      <c r="F33" s="37">
        <v>4590</v>
      </c>
      <c r="G33" s="35">
        <f t="shared" si="0"/>
        <v>359.4865555555555</v>
      </c>
    </row>
    <row r="34" spans="1:7" ht="12.75">
      <c r="A34" s="44">
        <f t="shared" si="1"/>
        <v>44807</v>
      </c>
      <c r="B34" s="35">
        <v>185269521.29999998</v>
      </c>
      <c r="C34" s="35">
        <v>693953.8899999999</v>
      </c>
      <c r="D34" s="35">
        <f t="shared" si="3"/>
        <v>172688522.01</v>
      </c>
      <c r="E34" s="35">
        <v>11887045.400000002</v>
      </c>
      <c r="F34" s="37">
        <v>4561</v>
      </c>
      <c r="G34" s="35">
        <f t="shared" si="0"/>
        <v>372.3195226610706</v>
      </c>
    </row>
    <row r="35" spans="1:7" ht="12.75">
      <c r="A35" s="44">
        <f t="shared" si="1"/>
        <v>44814</v>
      </c>
      <c r="B35" s="35">
        <v>191737442.29</v>
      </c>
      <c r="C35" s="35">
        <v>894923.34</v>
      </c>
      <c r="D35" s="35">
        <f t="shared" si="3"/>
        <v>178301369.37</v>
      </c>
      <c r="E35" s="35">
        <v>12541149.579999998</v>
      </c>
      <c r="F35" s="37">
        <v>4569</v>
      </c>
      <c r="G35" s="35">
        <f t="shared" si="0"/>
        <v>392.1192377200387</v>
      </c>
    </row>
    <row r="36" spans="1:7" ht="12.75">
      <c r="A36" s="44">
        <f t="shared" si="1"/>
        <v>44821</v>
      </c>
      <c r="B36" s="35">
        <v>175457503.18</v>
      </c>
      <c r="C36" s="35">
        <v>793580.5999999999</v>
      </c>
      <c r="D36" s="35">
        <f t="shared" si="2"/>
        <v>163403547.29000002</v>
      </c>
      <c r="E36" s="35">
        <v>11260375.29</v>
      </c>
      <c r="F36" s="37">
        <v>4573</v>
      </c>
      <c r="G36" s="35">
        <f t="shared" si="0"/>
        <v>351.7658083158914</v>
      </c>
    </row>
    <row r="37" spans="1:7" ht="12.75">
      <c r="A37" s="44">
        <f t="shared" si="1"/>
        <v>44828</v>
      </c>
      <c r="B37" s="35">
        <v>176822037.73000002</v>
      </c>
      <c r="C37" s="35">
        <v>864778.44</v>
      </c>
      <c r="D37" s="35">
        <f t="shared" si="2"/>
        <v>164741329.24</v>
      </c>
      <c r="E37" s="35">
        <v>11215930.049999999</v>
      </c>
      <c r="F37" s="37">
        <v>4556</v>
      </c>
      <c r="G37" s="35">
        <f t="shared" si="0"/>
        <v>351.68475009406745</v>
      </c>
    </row>
    <row r="38" spans="1:7" ht="12.75">
      <c r="A38" s="44">
        <f t="shared" si="1"/>
        <v>44835</v>
      </c>
      <c r="B38" s="35">
        <v>184215765.22</v>
      </c>
      <c r="C38" s="35">
        <v>1047963.0700000001</v>
      </c>
      <c r="D38" s="35">
        <f t="shared" si="2"/>
        <v>171762578.87</v>
      </c>
      <c r="E38" s="35">
        <v>11405223.280000001</v>
      </c>
      <c r="F38" s="37">
        <v>4573.857142857143</v>
      </c>
      <c r="G38" s="35">
        <f t="shared" si="0"/>
        <v>356.223983508761</v>
      </c>
    </row>
    <row r="39" spans="1:7" ht="12.75">
      <c r="A39" s="44">
        <f t="shared" si="1"/>
        <v>44842</v>
      </c>
      <c r="B39" s="61">
        <v>183999224.12</v>
      </c>
      <c r="C39" s="61">
        <v>1217898.59</v>
      </c>
      <c r="D39" s="35">
        <f t="shared" si="2"/>
        <v>171206693.53</v>
      </c>
      <c r="E39" s="61">
        <v>11574632.000000002</v>
      </c>
      <c r="F39" s="37">
        <v>4587</v>
      </c>
      <c r="G39" s="35">
        <f t="shared" si="0"/>
        <v>360.4793671556262</v>
      </c>
    </row>
    <row r="40" spans="1:7" ht="12.75">
      <c r="A40" s="44">
        <f t="shared" si="1"/>
        <v>44849</v>
      </c>
      <c r="B40" s="35">
        <v>180393659.72</v>
      </c>
      <c r="C40" s="35">
        <v>1074660.08</v>
      </c>
      <c r="D40" s="35">
        <f t="shared" si="2"/>
        <v>167164250.21999997</v>
      </c>
      <c r="E40" s="35">
        <v>12154749.420000006</v>
      </c>
      <c r="F40" s="37">
        <v>4587</v>
      </c>
      <c r="G40" s="35">
        <f t="shared" si="0"/>
        <v>378.5464953751286</v>
      </c>
    </row>
    <row r="41" spans="1:7" ht="12.75">
      <c r="A41" s="44">
        <f t="shared" si="1"/>
        <v>44856</v>
      </c>
      <c r="B41" s="35">
        <v>173802996.06</v>
      </c>
      <c r="C41" s="35">
        <v>1106988.6300000001</v>
      </c>
      <c r="D41" s="35">
        <f t="shared" si="2"/>
        <v>161697018.71</v>
      </c>
      <c r="E41" s="35">
        <v>10998988.72</v>
      </c>
      <c r="F41" s="37">
        <v>4587</v>
      </c>
      <c r="G41" s="35">
        <f t="shared" si="0"/>
        <v>342.55158117661716</v>
      </c>
    </row>
    <row r="42" spans="1:7" ht="12.75">
      <c r="A42" s="44">
        <f t="shared" si="1"/>
        <v>44863</v>
      </c>
      <c r="B42" s="35">
        <v>176005749.10999998</v>
      </c>
      <c r="C42" s="35">
        <v>1366882.65</v>
      </c>
      <c r="D42" s="35">
        <f t="shared" si="2"/>
        <v>163468147.18999997</v>
      </c>
      <c r="E42" s="35">
        <v>11170719.27</v>
      </c>
      <c r="F42" s="37">
        <v>4586</v>
      </c>
      <c r="G42" s="35">
        <f t="shared" si="0"/>
        <v>347.97580431125783</v>
      </c>
    </row>
    <row r="43" spans="1:7" ht="12.75">
      <c r="A43" s="44">
        <f t="shared" si="1"/>
        <v>44870</v>
      </c>
      <c r="B43" s="35">
        <v>185809225.5</v>
      </c>
      <c r="C43" s="35">
        <v>1109292.59</v>
      </c>
      <c r="D43" s="35">
        <f t="shared" si="2"/>
        <v>172862870.13</v>
      </c>
      <c r="E43" s="35">
        <v>11837062.78</v>
      </c>
      <c r="F43" s="37">
        <v>4585</v>
      </c>
      <c r="G43" s="35">
        <f t="shared" si="0"/>
        <v>368.81329739834865</v>
      </c>
    </row>
    <row r="44" spans="1:7" ht="12.75">
      <c r="A44" s="44">
        <f t="shared" si="1"/>
        <v>44877</v>
      </c>
      <c r="B44" s="35">
        <v>176732768.89999998</v>
      </c>
      <c r="C44" s="35">
        <v>913626.24</v>
      </c>
      <c r="D44" s="35">
        <f t="shared" si="2"/>
        <v>164346021.27999997</v>
      </c>
      <c r="E44" s="35">
        <v>11473121.379999999</v>
      </c>
      <c r="F44" s="37">
        <v>4585</v>
      </c>
      <c r="G44" s="35">
        <f t="shared" si="0"/>
        <v>357.4737928026172</v>
      </c>
    </row>
    <row r="45" spans="1:7" ht="12.75">
      <c r="A45" s="44">
        <f t="shared" si="1"/>
        <v>44884</v>
      </c>
      <c r="B45" s="35">
        <v>163155267.13000003</v>
      </c>
      <c r="C45" s="35">
        <v>618386.7200000001</v>
      </c>
      <c r="D45" s="35">
        <f t="shared" si="2"/>
        <v>152074574.82000002</v>
      </c>
      <c r="E45" s="35">
        <v>10462305.59</v>
      </c>
      <c r="F45" s="37">
        <v>4585</v>
      </c>
      <c r="G45" s="35">
        <f t="shared" si="0"/>
        <v>325.9792986446487</v>
      </c>
    </row>
    <row r="46" spans="1:7" ht="12.75">
      <c r="A46" s="44">
        <f t="shared" si="1"/>
        <v>44891</v>
      </c>
      <c r="B46" s="35">
        <v>172446468.18</v>
      </c>
      <c r="C46" s="35">
        <v>748593.64</v>
      </c>
      <c r="D46" s="35">
        <f t="shared" si="2"/>
        <v>160423675.98000002</v>
      </c>
      <c r="E46" s="35">
        <v>11274198.56</v>
      </c>
      <c r="F46" s="37">
        <v>4585</v>
      </c>
      <c r="G46" s="35">
        <f t="shared" si="0"/>
        <v>351.2758548060446</v>
      </c>
    </row>
    <row r="47" spans="1:7" ht="12.75">
      <c r="A47" s="44">
        <f t="shared" si="1"/>
        <v>44898</v>
      </c>
      <c r="B47" s="35">
        <v>163461213.46999997</v>
      </c>
      <c r="C47" s="35">
        <v>955620.8300000001</v>
      </c>
      <c r="D47" s="35">
        <f t="shared" si="2"/>
        <v>152255801.54999995</v>
      </c>
      <c r="E47" s="35">
        <v>10249791.089999996</v>
      </c>
      <c r="F47" s="37">
        <v>4579</v>
      </c>
      <c r="G47" s="35">
        <f t="shared" si="0"/>
        <v>319.7763419960689</v>
      </c>
    </row>
    <row r="48" spans="1:7" ht="12.75">
      <c r="A48" s="44">
        <f t="shared" si="1"/>
        <v>44905</v>
      </c>
      <c r="B48" s="35">
        <v>165959621.37</v>
      </c>
      <c r="C48" s="35">
        <v>958958.3</v>
      </c>
      <c r="D48" s="35">
        <f t="shared" si="2"/>
        <v>154562818.12</v>
      </c>
      <c r="E48" s="35">
        <v>10437844.950000001</v>
      </c>
      <c r="F48" s="37">
        <v>4564</v>
      </c>
      <c r="G48" s="35">
        <f t="shared" si="0"/>
        <v>326.71356422937276</v>
      </c>
    </row>
    <row r="49" spans="1:7" ht="12.75">
      <c r="A49" s="44">
        <f t="shared" si="1"/>
        <v>44912</v>
      </c>
      <c r="B49" s="35">
        <v>154441863.63</v>
      </c>
      <c r="C49" s="62">
        <v>-988569.6</v>
      </c>
      <c r="D49" s="35">
        <f t="shared" si="2"/>
        <v>144209629.04999998</v>
      </c>
      <c r="E49" s="35">
        <v>11220804.18</v>
      </c>
      <c r="F49" s="37">
        <v>4568</v>
      </c>
      <c r="G49" s="35">
        <f t="shared" si="0"/>
        <v>350.91331561170875</v>
      </c>
    </row>
    <row r="50" spans="1:7" ht="12.75">
      <c r="A50" s="44">
        <f t="shared" si="1"/>
        <v>44919</v>
      </c>
      <c r="B50" s="35">
        <v>142100439.01</v>
      </c>
      <c r="C50" s="35">
        <v>766961.76</v>
      </c>
      <c r="D50" s="35">
        <f t="shared" si="2"/>
        <v>132424131.88</v>
      </c>
      <c r="E50" s="35">
        <v>8909345.370000001</v>
      </c>
      <c r="F50" s="37">
        <v>4568</v>
      </c>
      <c r="G50" s="35">
        <f t="shared" si="0"/>
        <v>278.6260123217413</v>
      </c>
    </row>
    <row r="51" spans="1:7" ht="12.75">
      <c r="A51" s="44">
        <f t="shared" si="1"/>
        <v>44926</v>
      </c>
      <c r="B51" s="35">
        <v>195280975.29999998</v>
      </c>
      <c r="C51" s="35">
        <v>1063720.21</v>
      </c>
      <c r="D51" s="35">
        <f t="shared" si="2"/>
        <v>181008919.76999998</v>
      </c>
      <c r="E51" s="35">
        <v>13208335.320000008</v>
      </c>
      <c r="F51" s="37">
        <v>4568</v>
      </c>
      <c r="G51" s="35">
        <f t="shared" si="0"/>
        <v>413.07028146109604</v>
      </c>
    </row>
    <row r="52" spans="1:7" ht="12.75">
      <c r="A52" s="44">
        <f t="shared" si="1"/>
        <v>44933</v>
      </c>
      <c r="B52" s="35">
        <v>193560808.97000003</v>
      </c>
      <c r="C52" s="35">
        <v>1016720.4200000002</v>
      </c>
      <c r="D52" s="35">
        <f t="shared" si="2"/>
        <v>179437543.25000003</v>
      </c>
      <c r="E52" s="35">
        <v>13106545.300000004</v>
      </c>
      <c r="F52" s="37">
        <v>4559</v>
      </c>
      <c r="G52" s="35">
        <f t="shared" si="0"/>
        <v>410.69612070316185</v>
      </c>
    </row>
    <row r="53" spans="1:7" ht="12.75">
      <c r="A53" s="44">
        <f t="shared" si="1"/>
        <v>44940</v>
      </c>
      <c r="B53" s="35">
        <v>171608916.57</v>
      </c>
      <c r="C53" s="62">
        <v>-256795.96999999997</v>
      </c>
      <c r="D53" s="35">
        <f t="shared" si="2"/>
        <v>159564367.82999998</v>
      </c>
      <c r="E53" s="35">
        <v>12301344.710000003</v>
      </c>
      <c r="F53" s="37">
        <v>4519</v>
      </c>
      <c r="G53" s="35">
        <f t="shared" si="0"/>
        <v>388.8769547624317</v>
      </c>
    </row>
    <row r="54" spans="1:7" ht="12.75">
      <c r="A54" s="44">
        <f t="shared" si="1"/>
        <v>44947</v>
      </c>
      <c r="B54" s="35">
        <v>174270582.88000003</v>
      </c>
      <c r="C54" s="35">
        <v>926558.5000000001</v>
      </c>
      <c r="D54" s="35">
        <f t="shared" si="2"/>
        <v>161502218.86</v>
      </c>
      <c r="E54" s="35">
        <v>11841805.52</v>
      </c>
      <c r="F54" s="37">
        <v>4540</v>
      </c>
      <c r="G54" s="35">
        <f t="shared" si="0"/>
        <v>372.61817243549405</v>
      </c>
    </row>
    <row r="55" spans="1:7" ht="12.75">
      <c r="A55" s="44">
        <f t="shared" si="1"/>
        <v>44954</v>
      </c>
      <c r="B55" s="35">
        <v>168954059.92</v>
      </c>
      <c r="C55" s="35">
        <v>863975.2200000001</v>
      </c>
      <c r="D55" s="35">
        <f t="shared" si="2"/>
        <v>157382345.1</v>
      </c>
      <c r="E55" s="35">
        <v>10707739.599999996</v>
      </c>
      <c r="F55" s="37">
        <v>4543</v>
      </c>
      <c r="G55" s="35">
        <f t="shared" si="0"/>
        <v>336.7107826797898</v>
      </c>
    </row>
    <row r="56" spans="1:7" ht="12.75">
      <c r="A56" s="44">
        <f t="shared" si="1"/>
        <v>44961</v>
      </c>
      <c r="B56" s="35">
        <v>165549907.65</v>
      </c>
      <c r="C56" s="35">
        <v>862285.2699999998</v>
      </c>
      <c r="D56" s="35">
        <f t="shared" si="2"/>
        <v>153704791.16</v>
      </c>
      <c r="E56" s="35">
        <v>10982831.22</v>
      </c>
      <c r="F56" s="37">
        <v>4548</v>
      </c>
      <c r="G56" s="35">
        <f t="shared" si="0"/>
        <v>344.9815058424425</v>
      </c>
    </row>
    <row r="57" spans="1:7" ht="12.75">
      <c r="A57" s="44">
        <f t="shared" si="1"/>
        <v>44968</v>
      </c>
      <c r="B57" s="35">
        <v>182265172.23</v>
      </c>
      <c r="C57" s="35">
        <v>899556.0200000001</v>
      </c>
      <c r="D57" s="35">
        <f t="shared" si="2"/>
        <v>169115330.71999997</v>
      </c>
      <c r="E57" s="35">
        <v>12250285.490000004</v>
      </c>
      <c r="F57" s="37">
        <v>4548</v>
      </c>
      <c r="G57" s="35">
        <f t="shared" si="0"/>
        <v>384.7934881894712</v>
      </c>
    </row>
    <row r="58" spans="1:7" ht="12.75">
      <c r="A58" s="44">
        <f t="shared" si="1"/>
        <v>44975</v>
      </c>
      <c r="B58" s="35">
        <v>182062869.13</v>
      </c>
      <c r="C58" s="35">
        <v>190304.99</v>
      </c>
      <c r="D58" s="35">
        <f t="shared" si="2"/>
        <v>169160042.13</v>
      </c>
      <c r="E58" s="35">
        <v>12712522.009999996</v>
      </c>
      <c r="F58" s="37">
        <v>4548</v>
      </c>
      <c r="G58" s="35">
        <f t="shared" si="0"/>
        <v>399.3127908656865</v>
      </c>
    </row>
    <row r="59" spans="1:7" ht="12.75">
      <c r="A59" s="44">
        <f t="shared" si="1"/>
        <v>44982</v>
      </c>
      <c r="B59" s="35">
        <v>203413896.2</v>
      </c>
      <c r="C59" s="35">
        <v>961224.0300000001</v>
      </c>
      <c r="D59" s="35">
        <f t="shared" si="2"/>
        <v>189129281.91</v>
      </c>
      <c r="E59" s="35">
        <v>13323390.259999998</v>
      </c>
      <c r="F59" s="37">
        <v>4529</v>
      </c>
      <c r="G59" s="35">
        <f t="shared" si="0"/>
        <v>420.2564508090716</v>
      </c>
    </row>
    <row r="60" spans="1:7" ht="12.75">
      <c r="A60" s="44">
        <f t="shared" si="1"/>
        <v>44989</v>
      </c>
      <c r="B60" s="35">
        <v>191316912.85999998</v>
      </c>
      <c r="C60" s="35">
        <v>977669.28</v>
      </c>
      <c r="D60" s="35">
        <f t="shared" si="2"/>
        <v>177885007.48999998</v>
      </c>
      <c r="E60" s="35">
        <v>12454236.09</v>
      </c>
      <c r="F60" s="37">
        <v>4514</v>
      </c>
      <c r="G60" s="35">
        <f t="shared" si="0"/>
        <v>394.14634122412815</v>
      </c>
    </row>
    <row r="61" spans="1:7" ht="12.75">
      <c r="A61" s="44">
        <f t="shared" si="1"/>
        <v>44996</v>
      </c>
      <c r="B61" s="35">
        <v>188735819.38</v>
      </c>
      <c r="C61" s="35">
        <v>922460.98</v>
      </c>
      <c r="D61" s="35">
        <f t="shared" si="2"/>
        <v>175731758.38</v>
      </c>
      <c r="E61" s="35">
        <v>12081600.020000001</v>
      </c>
      <c r="F61" s="37">
        <v>4503</v>
      </c>
      <c r="G61" s="35">
        <f t="shared" si="0"/>
        <v>383.28733288918505</v>
      </c>
    </row>
    <row r="62" spans="1:7" ht="12.75">
      <c r="A62" s="44">
        <f t="shared" si="1"/>
        <v>45003</v>
      </c>
      <c r="B62" s="35">
        <v>184626686.45000002</v>
      </c>
      <c r="C62" s="35">
        <v>908761.0099999999</v>
      </c>
      <c r="D62" s="35">
        <f t="shared" si="2"/>
        <v>171527705.19000003</v>
      </c>
      <c r="E62" s="35">
        <v>12190220.249999996</v>
      </c>
      <c r="F62" s="37">
        <v>4505</v>
      </c>
      <c r="G62" s="35">
        <f t="shared" si="0"/>
        <v>386.5616061518946</v>
      </c>
    </row>
    <row r="63" spans="1:7" ht="12.75">
      <c r="A63" s="44">
        <f t="shared" si="1"/>
        <v>45010</v>
      </c>
      <c r="B63" s="35">
        <v>175015841.18</v>
      </c>
      <c r="C63" s="35">
        <v>1011401.7</v>
      </c>
      <c r="D63" s="35">
        <f t="shared" si="2"/>
        <v>162477353.35000002</v>
      </c>
      <c r="E63" s="35">
        <v>11527086.129999992</v>
      </c>
      <c r="F63" s="37">
        <v>4508</v>
      </c>
      <c r="G63" s="35">
        <f t="shared" si="0"/>
        <v>365.2898380656608</v>
      </c>
    </row>
    <row r="64" ht="12.75">
      <c r="A64" s="44"/>
    </row>
    <row r="65" spans="1:7" ht="13.5" thickBot="1">
      <c r="A65" s="38" t="s">
        <v>8</v>
      </c>
      <c r="B65" s="17">
        <f>IF(SUM(B12:B64)=0,"",SUM(B12:B64))</f>
        <v>9346868964.060001</v>
      </c>
      <c r="C65" s="17">
        <f>IF(SUM(C12:C64)=0,"",SUM(C12:C64))</f>
        <v>39763521.97000001</v>
      </c>
      <c r="D65" s="17">
        <f>IF(SUM(D12:D64)=0,"",SUM(D12:D64))</f>
        <v>8696088604.999998</v>
      </c>
      <c r="E65" s="17">
        <f>IF(SUM(E12:E64)=0,"",SUM(E12:E64))</f>
        <v>611016837.09</v>
      </c>
      <c r="F65" s="24">
        <f>_xlfn.IFERROR(SUM(F12:F64)/COUNT(F12:F64)," ")</f>
        <v>4584.593406593407</v>
      </c>
      <c r="G65" s="42">
        <f>_xlfn.IFERROR(E65/SUM(F12:F63)/7," ")</f>
        <v>366.1431964498871</v>
      </c>
    </row>
    <row r="66" spans="1:5" s="39" customFormat="1" ht="13.5" thickTop="1">
      <c r="A66" s="41"/>
      <c r="B66" s="40"/>
      <c r="C66" s="40"/>
      <c r="D66" s="40"/>
      <c r="E66" s="4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8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">
      <pane ySplit="10" topLeftCell="A32" activePane="bottomLeft" state="frozen"/>
      <selection pane="topLeft" activeCell="A1" sqref="A1"/>
      <selection pane="bottomLeft" activeCell="B68" sqref="B68"/>
    </sheetView>
  </sheetViews>
  <sheetFormatPr defaultColWidth="9.140625" defaultRowHeight="12.75"/>
  <cols>
    <col min="1" max="1" width="16.00390625" style="38" customWidth="1"/>
    <col min="2" max="5" width="16.00390625" style="35" customWidth="1"/>
    <col min="6" max="6" width="16.00390625" style="37" customWidth="1"/>
    <col min="7" max="7" width="16.00390625" style="35" customWidth="1"/>
    <col min="8" max="16384" width="9.140625" style="36" customWidth="1"/>
  </cols>
  <sheetData>
    <row r="1" spans="1:8" ht="18">
      <c r="A1" s="63" t="s">
        <v>15</v>
      </c>
      <c r="B1" s="63"/>
      <c r="C1" s="63"/>
      <c r="D1" s="63"/>
      <c r="E1" s="63"/>
      <c r="F1" s="63"/>
      <c r="G1" s="63"/>
      <c r="H1" s="60"/>
    </row>
    <row r="2" spans="1:8" ht="15">
      <c r="A2" s="64" t="s">
        <v>16</v>
      </c>
      <c r="B2" s="64"/>
      <c r="C2" s="64"/>
      <c r="D2" s="64"/>
      <c r="E2" s="64"/>
      <c r="F2" s="64"/>
      <c r="G2" s="64"/>
      <c r="H2" s="59"/>
    </row>
    <row r="3" spans="1:8" s="52" customFormat="1" ht="15">
      <c r="A3" s="64" t="s">
        <v>17</v>
      </c>
      <c r="B3" s="64"/>
      <c r="C3" s="64"/>
      <c r="D3" s="64"/>
      <c r="E3" s="64"/>
      <c r="F3" s="64"/>
      <c r="G3" s="64"/>
      <c r="H3" s="59"/>
    </row>
    <row r="4" spans="1:8" s="52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52" customFormat="1" ht="14.25">
      <c r="A5" s="66" t="s">
        <v>19</v>
      </c>
      <c r="B5" s="66"/>
      <c r="C5" s="66"/>
      <c r="D5" s="66"/>
      <c r="E5" s="66"/>
      <c r="F5" s="66"/>
      <c r="G5" s="66"/>
      <c r="H5" s="58"/>
    </row>
    <row r="6" spans="1:8" s="52" customFormat="1" ht="14.25">
      <c r="A6" s="57"/>
      <c r="B6" s="57"/>
      <c r="C6" s="57"/>
      <c r="D6" s="57"/>
      <c r="E6" s="57"/>
      <c r="F6" s="57"/>
      <c r="G6" s="57"/>
      <c r="H6" s="57"/>
    </row>
    <row r="7" spans="1:7" s="56" customFormat="1" ht="14.25" customHeight="1">
      <c r="A7" s="67" t="s">
        <v>33</v>
      </c>
      <c r="B7" s="68"/>
      <c r="C7" s="68"/>
      <c r="D7" s="68"/>
      <c r="E7" s="68"/>
      <c r="F7" s="68"/>
      <c r="G7" s="69"/>
    </row>
    <row r="8" spans="1:7" s="52" customFormat="1" ht="9" customHeight="1">
      <c r="A8" s="38"/>
      <c r="B8" s="55"/>
      <c r="C8" s="55"/>
      <c r="D8" s="55"/>
      <c r="E8" s="53"/>
      <c r="F8" s="54"/>
      <c r="G8" s="53"/>
    </row>
    <row r="9" spans="1:7" s="45" customFormat="1" ht="12">
      <c r="A9" s="51"/>
      <c r="B9" s="49" t="s">
        <v>0</v>
      </c>
      <c r="C9" s="49" t="s">
        <v>21</v>
      </c>
      <c r="D9" s="49" t="s">
        <v>0</v>
      </c>
      <c r="E9" s="49"/>
      <c r="F9" s="50" t="s">
        <v>1</v>
      </c>
      <c r="G9" s="49" t="s">
        <v>2</v>
      </c>
    </row>
    <row r="10" spans="1:7" s="45" customFormat="1" ht="12">
      <c r="A10" s="48" t="s">
        <v>11</v>
      </c>
      <c r="B10" s="46" t="s">
        <v>3</v>
      </c>
      <c r="C10" s="46" t="s">
        <v>24</v>
      </c>
      <c r="D10" s="46" t="s">
        <v>4</v>
      </c>
      <c r="E10" s="46" t="s">
        <v>5</v>
      </c>
      <c r="F10" s="47" t="s">
        <v>6</v>
      </c>
      <c r="G10" s="46" t="s">
        <v>7</v>
      </c>
    </row>
    <row r="12" spans="1:7" ht="12.75">
      <c r="A12" s="22">
        <v>44289</v>
      </c>
      <c r="B12" s="35">
        <v>174681260.49</v>
      </c>
      <c r="C12" s="35">
        <v>415854.16000000003</v>
      </c>
      <c r="D12" s="35">
        <f>IF(ISBLANK(B12),"",B12-C12-E12)</f>
        <v>162345083.20000002</v>
      </c>
      <c r="E12" s="35">
        <v>11920323.130000005</v>
      </c>
      <c r="F12" s="37">
        <v>2864</v>
      </c>
      <c r="G12" s="35">
        <f aca="true" t="shared" si="0" ref="G12:G36">IF(ISBLANK(B12),"",E12/F12/7)</f>
        <v>594.5891425578614</v>
      </c>
    </row>
    <row r="13" spans="1:7" ht="12.75">
      <c r="A13" s="44">
        <f aca="true" t="shared" si="1" ref="A13:A63">+A12+7</f>
        <v>44296</v>
      </c>
      <c r="B13" s="35">
        <v>203724894.56</v>
      </c>
      <c r="C13" s="35">
        <v>451955.91</v>
      </c>
      <c r="D13" s="35">
        <f>IF(ISBLANK(B13),"",B13-C13-E13)</f>
        <v>189728998.04000002</v>
      </c>
      <c r="E13" s="35">
        <v>13543940.609999998</v>
      </c>
      <c r="F13" s="37">
        <v>2936</v>
      </c>
      <c r="G13" s="35">
        <f t="shared" si="0"/>
        <v>659.0083986959905</v>
      </c>
    </row>
    <row r="14" spans="1:7" ht="12.75">
      <c r="A14" s="44">
        <f t="shared" si="1"/>
        <v>44303</v>
      </c>
      <c r="B14" s="35">
        <v>195986616.52</v>
      </c>
      <c r="C14" s="35">
        <v>380690.06999999995</v>
      </c>
      <c r="D14" s="35">
        <f aca="true" t="shared" si="2" ref="D14:D63">IF(ISBLANK(B14),"",B14-C14-E14)</f>
        <v>182238092.69000003</v>
      </c>
      <c r="E14" s="35">
        <v>13367833.759999994</v>
      </c>
      <c r="F14" s="37">
        <v>2974</v>
      </c>
      <c r="G14" s="35">
        <f t="shared" si="0"/>
        <v>642.1286271495818</v>
      </c>
    </row>
    <row r="15" spans="1:7" ht="12.75">
      <c r="A15" s="44">
        <f t="shared" si="1"/>
        <v>44310</v>
      </c>
      <c r="B15" s="35">
        <v>184969147.38</v>
      </c>
      <c r="C15" s="35">
        <v>403139.96</v>
      </c>
      <c r="D15" s="35">
        <f>IF(ISBLANK(B15),"",B15-C15-E15)</f>
        <v>171637094.23999998</v>
      </c>
      <c r="E15" s="35">
        <v>12928913.18</v>
      </c>
      <c r="F15" s="37">
        <v>3042</v>
      </c>
      <c r="G15" s="35">
        <f t="shared" si="0"/>
        <v>607.1622607307223</v>
      </c>
    </row>
    <row r="16" spans="1:7" ht="12.75">
      <c r="A16" s="44">
        <f t="shared" si="1"/>
        <v>44317</v>
      </c>
      <c r="B16" s="35">
        <v>198724350.33</v>
      </c>
      <c r="C16" s="35">
        <v>361321.65</v>
      </c>
      <c r="D16" s="35">
        <f>IF(ISBLANK(B16),"",B16-C16-E16)</f>
        <v>184937376.99</v>
      </c>
      <c r="E16" s="35">
        <v>13425651.69</v>
      </c>
      <c r="F16" s="37">
        <v>3128.7</v>
      </c>
      <c r="G16" s="35">
        <f t="shared" si="0"/>
        <v>613.0182636330013</v>
      </c>
    </row>
    <row r="17" spans="1:7" ht="12.75">
      <c r="A17" s="44">
        <f t="shared" si="1"/>
        <v>44324</v>
      </c>
      <c r="B17" s="35">
        <v>190210012.53</v>
      </c>
      <c r="C17" s="35">
        <v>348997.82</v>
      </c>
      <c r="D17" s="35">
        <f aca="true" t="shared" si="3" ref="D17:D35">IF(ISBLANK(B17),"",B17-C17-E17)</f>
        <v>177231585.03</v>
      </c>
      <c r="E17" s="35">
        <v>12629429.68</v>
      </c>
      <c r="F17" s="37">
        <v>3188</v>
      </c>
      <c r="G17" s="35">
        <f t="shared" si="0"/>
        <v>565.9360853199498</v>
      </c>
    </row>
    <row r="18" spans="1:7" ht="12.75">
      <c r="A18" s="44">
        <f t="shared" si="1"/>
        <v>44331</v>
      </c>
      <c r="B18" s="35">
        <v>191117210.87</v>
      </c>
      <c r="C18" s="35">
        <v>392081.54</v>
      </c>
      <c r="D18" s="35">
        <f t="shared" si="3"/>
        <v>177875594.10000002</v>
      </c>
      <c r="E18" s="35">
        <v>12849535.23</v>
      </c>
      <c r="F18" s="37">
        <v>3196.57</v>
      </c>
      <c r="G18" s="35">
        <f t="shared" si="0"/>
        <v>574.2554957344904</v>
      </c>
    </row>
    <row r="19" spans="1:7" ht="12.75">
      <c r="A19" s="44">
        <f t="shared" si="1"/>
        <v>44338</v>
      </c>
      <c r="B19" s="35">
        <v>180112490.51</v>
      </c>
      <c r="C19" s="35">
        <v>364289.66</v>
      </c>
      <c r="D19" s="35">
        <f t="shared" si="3"/>
        <v>168252143.97</v>
      </c>
      <c r="E19" s="35">
        <v>11496056.88</v>
      </c>
      <c r="F19" s="37">
        <v>3223</v>
      </c>
      <c r="G19" s="35">
        <f t="shared" si="0"/>
        <v>509.55440273037544</v>
      </c>
    </row>
    <row r="20" spans="1:7" ht="12.75">
      <c r="A20" s="44">
        <f t="shared" si="1"/>
        <v>44345</v>
      </c>
      <c r="B20" s="35">
        <v>185711133.86</v>
      </c>
      <c r="C20" s="35">
        <v>495547.73</v>
      </c>
      <c r="D20" s="35">
        <f t="shared" si="3"/>
        <v>173177595.48000002</v>
      </c>
      <c r="E20" s="35">
        <v>12037990.65</v>
      </c>
      <c r="F20" s="37">
        <v>3246</v>
      </c>
      <c r="G20" s="35">
        <f t="shared" si="0"/>
        <v>529.7945009242145</v>
      </c>
    </row>
    <row r="21" spans="1:7" ht="12.75">
      <c r="A21" s="44">
        <f t="shared" si="1"/>
        <v>44352</v>
      </c>
      <c r="B21" s="35">
        <v>200985465.7</v>
      </c>
      <c r="C21" s="35">
        <v>482363.66</v>
      </c>
      <c r="D21" s="35">
        <f t="shared" si="3"/>
        <v>187010027.48</v>
      </c>
      <c r="E21" s="35">
        <v>13493074.56</v>
      </c>
      <c r="F21" s="37">
        <v>3279</v>
      </c>
      <c r="G21" s="35">
        <f t="shared" si="0"/>
        <v>587.8566880146387</v>
      </c>
    </row>
    <row r="22" spans="1:7" ht="12.75">
      <c r="A22" s="44">
        <f t="shared" si="1"/>
        <v>44359</v>
      </c>
      <c r="B22" s="35">
        <v>187953443.16000003</v>
      </c>
      <c r="C22" s="35">
        <v>726988.4700000001</v>
      </c>
      <c r="D22" s="35">
        <f t="shared" si="3"/>
        <v>175182244.82000002</v>
      </c>
      <c r="E22" s="35">
        <v>12044209.870000003</v>
      </c>
      <c r="F22" s="37">
        <v>3298</v>
      </c>
      <c r="G22" s="35">
        <f t="shared" si="0"/>
        <v>521.7105548817466</v>
      </c>
    </row>
    <row r="23" spans="1:7" ht="12.75">
      <c r="A23" s="44">
        <f t="shared" si="1"/>
        <v>44366</v>
      </c>
      <c r="B23" s="35">
        <v>181871779.62</v>
      </c>
      <c r="C23" s="35">
        <v>492512.56</v>
      </c>
      <c r="D23" s="35">
        <f t="shared" si="3"/>
        <v>169251177.96</v>
      </c>
      <c r="E23" s="35">
        <v>12128089.1</v>
      </c>
      <c r="F23" s="37">
        <v>3463</v>
      </c>
      <c r="G23" s="35">
        <f t="shared" si="0"/>
        <v>500.31306876779007</v>
      </c>
    </row>
    <row r="24" spans="1:7" ht="12.75">
      <c r="A24" s="44">
        <f t="shared" si="1"/>
        <v>44373</v>
      </c>
      <c r="B24" s="35">
        <v>185948165.73999998</v>
      </c>
      <c r="C24" s="35">
        <v>751040.54</v>
      </c>
      <c r="D24" s="35">
        <f t="shared" si="3"/>
        <v>172686903.26999998</v>
      </c>
      <c r="E24" s="35">
        <v>12510221.930000003</v>
      </c>
      <c r="F24" s="37">
        <v>4026</v>
      </c>
      <c r="G24" s="35">
        <f t="shared" si="0"/>
        <v>443.90823681782706</v>
      </c>
    </row>
    <row r="25" spans="1:7" ht="12.75">
      <c r="A25" s="44">
        <f t="shared" si="1"/>
        <v>44380</v>
      </c>
      <c r="B25" s="35">
        <v>186423161.23000002</v>
      </c>
      <c r="C25" s="35">
        <v>542349.07</v>
      </c>
      <c r="D25" s="35">
        <f t="shared" si="3"/>
        <v>173044644.35000002</v>
      </c>
      <c r="E25" s="35">
        <v>12836167.809999999</v>
      </c>
      <c r="F25" s="37">
        <v>4611</v>
      </c>
      <c r="G25" s="35">
        <f t="shared" si="0"/>
        <v>397.68775939523493</v>
      </c>
    </row>
    <row r="26" spans="1:7" ht="12.75">
      <c r="A26" s="44">
        <f t="shared" si="1"/>
        <v>44387</v>
      </c>
      <c r="B26" s="35">
        <v>191474373.62</v>
      </c>
      <c r="C26" s="35">
        <v>632740.8500000001</v>
      </c>
      <c r="D26" s="35">
        <f t="shared" si="3"/>
        <v>178201759.33</v>
      </c>
      <c r="E26" s="35">
        <v>12639873.440000005</v>
      </c>
      <c r="F26" s="37">
        <v>4696</v>
      </c>
      <c r="G26" s="35">
        <f t="shared" si="0"/>
        <v>384.51793137016324</v>
      </c>
    </row>
    <row r="27" spans="1:7" ht="12.75">
      <c r="A27" s="44">
        <f t="shared" si="1"/>
        <v>44394</v>
      </c>
      <c r="B27" s="35">
        <v>190253413.2</v>
      </c>
      <c r="C27" s="35">
        <v>745663.94</v>
      </c>
      <c r="D27" s="35">
        <f t="shared" si="3"/>
        <v>177310674.39</v>
      </c>
      <c r="E27" s="35">
        <v>12197074.870000003</v>
      </c>
      <c r="F27" s="37">
        <v>4696</v>
      </c>
      <c r="G27" s="35">
        <f t="shared" si="0"/>
        <v>371.04754411048924</v>
      </c>
    </row>
    <row r="28" spans="1:7" ht="12.75">
      <c r="A28" s="44">
        <f t="shared" si="1"/>
        <v>44401</v>
      </c>
      <c r="B28" s="35">
        <v>193166593.71000004</v>
      </c>
      <c r="C28" s="35">
        <v>594686.05</v>
      </c>
      <c r="D28" s="35">
        <f t="shared" si="3"/>
        <v>179734928.35000002</v>
      </c>
      <c r="E28" s="35">
        <v>12836979.309999999</v>
      </c>
      <c r="F28" s="37">
        <v>4696</v>
      </c>
      <c r="G28" s="35">
        <f t="shared" si="0"/>
        <v>390.51409436602574</v>
      </c>
    </row>
    <row r="29" spans="1:7" ht="12.75">
      <c r="A29" s="44">
        <f t="shared" si="1"/>
        <v>44408</v>
      </c>
      <c r="B29" s="35">
        <v>195196946.73000002</v>
      </c>
      <c r="C29" s="35">
        <v>782179.9</v>
      </c>
      <c r="D29" s="35">
        <f t="shared" si="3"/>
        <v>181595483.42000002</v>
      </c>
      <c r="E29" s="35">
        <v>12819283.410000011</v>
      </c>
      <c r="F29" s="37">
        <v>4696</v>
      </c>
      <c r="G29" s="35">
        <f t="shared" si="0"/>
        <v>389.97576691409137</v>
      </c>
    </row>
    <row r="30" spans="1:7" ht="12.75">
      <c r="A30" s="44">
        <f t="shared" si="1"/>
        <v>44415</v>
      </c>
      <c r="B30" s="35">
        <v>187640354.06</v>
      </c>
      <c r="C30" s="35">
        <v>562422.09</v>
      </c>
      <c r="D30" s="35">
        <f t="shared" si="3"/>
        <v>174543175.32999998</v>
      </c>
      <c r="E30" s="35">
        <v>12534756.64</v>
      </c>
      <c r="F30" s="37">
        <v>4696</v>
      </c>
      <c r="G30" s="35">
        <f t="shared" si="0"/>
        <v>381.32017035775135</v>
      </c>
    </row>
    <row r="31" spans="1:7" ht="12.75">
      <c r="A31" s="44">
        <f t="shared" si="1"/>
        <v>44422</v>
      </c>
      <c r="B31" s="35">
        <v>189534497.08</v>
      </c>
      <c r="C31" s="35">
        <v>742631.82</v>
      </c>
      <c r="D31" s="35">
        <f t="shared" si="3"/>
        <v>176355132.35000002</v>
      </c>
      <c r="E31" s="35">
        <v>12436732.91</v>
      </c>
      <c r="F31" s="37">
        <v>4696</v>
      </c>
      <c r="G31" s="35">
        <f t="shared" si="0"/>
        <v>378.3381878194208</v>
      </c>
    </row>
    <row r="32" spans="1:7" ht="12.75">
      <c r="A32" s="44">
        <f t="shared" si="1"/>
        <v>44429</v>
      </c>
      <c r="B32" s="35">
        <v>185945281.49</v>
      </c>
      <c r="C32" s="35">
        <v>626172.8999999999</v>
      </c>
      <c r="D32" s="35">
        <f t="shared" si="3"/>
        <v>173383734.79000002</v>
      </c>
      <c r="E32" s="35">
        <v>11935373.799999997</v>
      </c>
      <c r="F32" s="37">
        <v>4696</v>
      </c>
      <c r="G32" s="35">
        <f t="shared" si="0"/>
        <v>363.0863287904599</v>
      </c>
    </row>
    <row r="33" spans="1:7" ht="12.75">
      <c r="A33" s="44">
        <f t="shared" si="1"/>
        <v>44436</v>
      </c>
      <c r="B33" s="35">
        <v>190278142.59</v>
      </c>
      <c r="C33" s="35">
        <v>760054.73</v>
      </c>
      <c r="D33" s="35">
        <f t="shared" si="3"/>
        <v>177283790.66000003</v>
      </c>
      <c r="E33" s="35">
        <v>12234297.2</v>
      </c>
      <c r="F33" s="37">
        <v>4696</v>
      </c>
      <c r="G33" s="35">
        <f t="shared" si="0"/>
        <v>372.1798856169384</v>
      </c>
    </row>
    <row r="34" spans="1:7" ht="12.75">
      <c r="A34" s="44">
        <f t="shared" si="1"/>
        <v>44443</v>
      </c>
      <c r="B34" s="35">
        <v>184002062.30000004</v>
      </c>
      <c r="C34" s="35">
        <v>517324.0200000001</v>
      </c>
      <c r="D34" s="35">
        <f t="shared" si="3"/>
        <v>171232142.88000003</v>
      </c>
      <c r="E34" s="35">
        <v>12252595.399999995</v>
      </c>
      <c r="F34" s="37">
        <v>4696</v>
      </c>
      <c r="G34" s="35">
        <f t="shared" si="0"/>
        <v>372.73653565344347</v>
      </c>
    </row>
    <row r="35" spans="1:7" ht="12.75">
      <c r="A35" s="44">
        <f t="shared" si="1"/>
        <v>44450</v>
      </c>
      <c r="B35" s="35">
        <v>202029702.35</v>
      </c>
      <c r="C35" s="35">
        <v>554203.4900000001</v>
      </c>
      <c r="D35" s="35">
        <f t="shared" si="3"/>
        <v>188405785.75</v>
      </c>
      <c r="E35" s="35">
        <v>13069713.11</v>
      </c>
      <c r="F35" s="37">
        <v>4696</v>
      </c>
      <c r="G35" s="35">
        <f t="shared" si="0"/>
        <v>397.5940955828669</v>
      </c>
    </row>
    <row r="36" spans="1:7" ht="12.75">
      <c r="A36" s="44">
        <f t="shared" si="1"/>
        <v>44457</v>
      </c>
      <c r="B36" s="35">
        <v>182919227.62</v>
      </c>
      <c r="C36" s="35">
        <v>567059.83</v>
      </c>
      <c r="D36" s="35">
        <f t="shared" si="2"/>
        <v>170420514.03</v>
      </c>
      <c r="E36" s="35">
        <v>11931653.76</v>
      </c>
      <c r="F36" s="37">
        <v>4696</v>
      </c>
      <c r="G36" s="35">
        <f t="shared" si="0"/>
        <v>362.97316135312724</v>
      </c>
    </row>
    <row r="37" spans="1:7" ht="12.75">
      <c r="A37" s="44">
        <f t="shared" si="1"/>
        <v>44464</v>
      </c>
      <c r="B37" s="35">
        <v>180731321.2</v>
      </c>
      <c r="C37" s="35">
        <v>595153.3899999999</v>
      </c>
      <c r="D37" s="35">
        <f t="shared" si="2"/>
        <v>168732885.84</v>
      </c>
      <c r="E37" s="35">
        <v>11403281.970000003</v>
      </c>
      <c r="F37" s="37">
        <v>4696</v>
      </c>
      <c r="G37" s="35">
        <f aca="true" t="shared" si="4" ref="G37:G63">IF(ISBLANK(B37),"",E37/F37/7)</f>
        <v>346.8995488561695</v>
      </c>
    </row>
    <row r="38" spans="1:7" ht="12.75">
      <c r="A38" s="44">
        <f t="shared" si="1"/>
        <v>44471</v>
      </c>
      <c r="B38" s="35">
        <v>184890089.05</v>
      </c>
      <c r="C38" s="35">
        <v>515122.05999999994</v>
      </c>
      <c r="D38" s="35">
        <f t="shared" si="2"/>
        <v>172387909.42000002</v>
      </c>
      <c r="E38" s="35">
        <v>11987057.569999998</v>
      </c>
      <c r="F38" s="37">
        <v>4696</v>
      </c>
      <c r="G38" s="35">
        <f t="shared" si="4"/>
        <v>364.65860215380866</v>
      </c>
    </row>
    <row r="39" spans="1:7" ht="12.75">
      <c r="A39" s="44">
        <f t="shared" si="1"/>
        <v>44478</v>
      </c>
      <c r="B39" s="61">
        <v>181407554.32</v>
      </c>
      <c r="C39" s="61">
        <v>548281.65</v>
      </c>
      <c r="D39" s="35">
        <f t="shared" si="2"/>
        <v>169506298.54999998</v>
      </c>
      <c r="E39" s="61">
        <v>11352974.12</v>
      </c>
      <c r="F39" s="37">
        <v>4696</v>
      </c>
      <c r="G39" s="35">
        <f t="shared" si="4"/>
        <v>345.36913239230955</v>
      </c>
    </row>
    <row r="40" spans="1:7" ht="12.75">
      <c r="A40" s="44">
        <f t="shared" si="1"/>
        <v>44485</v>
      </c>
      <c r="B40" s="35">
        <v>182090898.29999998</v>
      </c>
      <c r="C40" s="35">
        <v>605179.3</v>
      </c>
      <c r="D40" s="35">
        <f t="shared" si="2"/>
        <v>169710466.83999997</v>
      </c>
      <c r="E40" s="35">
        <v>11775252.16</v>
      </c>
      <c r="F40" s="37">
        <v>4696</v>
      </c>
      <c r="G40" s="35">
        <f t="shared" si="4"/>
        <v>358.2152640545145</v>
      </c>
    </row>
    <row r="41" spans="1:7" ht="12.75">
      <c r="A41" s="44">
        <f t="shared" si="1"/>
        <v>44492</v>
      </c>
      <c r="B41" s="35">
        <v>178839024.77999997</v>
      </c>
      <c r="C41" s="35">
        <v>592305.52</v>
      </c>
      <c r="D41" s="35">
        <f t="shared" si="2"/>
        <v>166734453.99999997</v>
      </c>
      <c r="E41" s="35">
        <v>11512265.260000002</v>
      </c>
      <c r="F41" s="37">
        <v>4696</v>
      </c>
      <c r="G41" s="35">
        <f t="shared" si="4"/>
        <v>350.2149324653201</v>
      </c>
    </row>
    <row r="42" spans="1:7" ht="12.75">
      <c r="A42" s="44">
        <f t="shared" si="1"/>
        <v>44499</v>
      </c>
      <c r="B42" s="35">
        <v>177087702.79000002</v>
      </c>
      <c r="C42" s="35">
        <v>643540.38</v>
      </c>
      <c r="D42" s="35">
        <f t="shared" si="2"/>
        <v>164814513.20000002</v>
      </c>
      <c r="E42" s="35">
        <v>11629649.210000006</v>
      </c>
      <c r="F42" s="37">
        <v>4696</v>
      </c>
      <c r="G42" s="35">
        <f t="shared" si="4"/>
        <v>353.7858727792653</v>
      </c>
    </row>
    <row r="43" spans="1:7" ht="12.75">
      <c r="A43" s="44">
        <f t="shared" si="1"/>
        <v>44506</v>
      </c>
      <c r="B43" s="35">
        <v>181165524.92000002</v>
      </c>
      <c r="C43" s="35">
        <v>533821.8</v>
      </c>
      <c r="D43" s="35">
        <f t="shared" si="2"/>
        <v>168421885.96</v>
      </c>
      <c r="E43" s="35">
        <v>12209817.159999998</v>
      </c>
      <c r="F43" s="37">
        <v>4696</v>
      </c>
      <c r="G43" s="35">
        <f t="shared" si="4"/>
        <v>371.4351776587977</v>
      </c>
    </row>
    <row r="44" spans="1:7" ht="12.75">
      <c r="A44" s="44">
        <f t="shared" si="1"/>
        <v>44513</v>
      </c>
      <c r="B44" s="35">
        <v>178520774.70000002</v>
      </c>
      <c r="C44" s="35">
        <v>607156.08</v>
      </c>
      <c r="D44" s="35">
        <f t="shared" si="2"/>
        <v>166562065.02</v>
      </c>
      <c r="E44" s="35">
        <v>11351553.600000001</v>
      </c>
      <c r="F44" s="37">
        <v>4696</v>
      </c>
      <c r="G44" s="35">
        <f t="shared" si="4"/>
        <v>345.3259187150159</v>
      </c>
    </row>
    <row r="45" spans="1:7" ht="12.75">
      <c r="A45" s="44">
        <f t="shared" si="1"/>
        <v>44520</v>
      </c>
      <c r="B45" s="35">
        <v>175262676.23</v>
      </c>
      <c r="C45" s="35">
        <v>573296.5800000001</v>
      </c>
      <c r="D45" s="35">
        <f t="shared" si="2"/>
        <v>163392899.96999997</v>
      </c>
      <c r="E45" s="35">
        <v>11296479.68</v>
      </c>
      <c r="F45" s="37">
        <v>4696</v>
      </c>
      <c r="G45" s="35">
        <f t="shared" si="4"/>
        <v>343.65051350693597</v>
      </c>
    </row>
    <row r="46" spans="1:7" ht="12.75">
      <c r="A46" s="44">
        <f t="shared" si="1"/>
        <v>44527</v>
      </c>
      <c r="B46" s="35">
        <v>179763510.25</v>
      </c>
      <c r="C46" s="35">
        <v>589169.2200000001</v>
      </c>
      <c r="D46" s="35">
        <f t="shared" si="2"/>
        <v>167507656.05</v>
      </c>
      <c r="E46" s="35">
        <v>11666684.98</v>
      </c>
      <c r="F46" s="37">
        <v>4696</v>
      </c>
      <c r="G46" s="35">
        <f t="shared" si="4"/>
        <v>354.9125389389146</v>
      </c>
    </row>
    <row r="47" spans="1:7" ht="12.75">
      <c r="A47" s="44">
        <f t="shared" si="1"/>
        <v>44534</v>
      </c>
      <c r="B47" s="35">
        <v>177698688.10000002</v>
      </c>
      <c r="C47" s="35">
        <v>550658.99</v>
      </c>
      <c r="D47" s="35">
        <f t="shared" si="2"/>
        <v>165730882.84</v>
      </c>
      <c r="E47" s="35">
        <v>11417146.27</v>
      </c>
      <c r="F47" s="37">
        <v>4696</v>
      </c>
      <c r="G47" s="35">
        <f t="shared" si="4"/>
        <v>347.32131510099777</v>
      </c>
    </row>
    <row r="48" spans="1:7" ht="12.75">
      <c r="A48" s="44">
        <f t="shared" si="1"/>
        <v>44541</v>
      </c>
      <c r="B48" s="35">
        <v>167292027.25</v>
      </c>
      <c r="C48" s="35">
        <v>446614.01999999996</v>
      </c>
      <c r="D48" s="35">
        <f t="shared" si="2"/>
        <v>156021260.63</v>
      </c>
      <c r="E48" s="35">
        <v>10824152.599999996</v>
      </c>
      <c r="F48" s="37">
        <v>4696</v>
      </c>
      <c r="G48" s="35">
        <f t="shared" si="4"/>
        <v>329.2818386468726</v>
      </c>
    </row>
    <row r="49" spans="1:7" ht="12.75">
      <c r="A49" s="44">
        <f t="shared" si="1"/>
        <v>44548</v>
      </c>
      <c r="B49" s="35">
        <v>170753655.41</v>
      </c>
      <c r="C49" s="35">
        <v>732619.21</v>
      </c>
      <c r="D49" s="35">
        <f t="shared" si="2"/>
        <v>158874325.70999998</v>
      </c>
      <c r="E49" s="35">
        <v>11146710.49</v>
      </c>
      <c r="F49" s="37">
        <v>4696</v>
      </c>
      <c r="G49" s="35">
        <f t="shared" si="4"/>
        <v>339.09438093210025</v>
      </c>
    </row>
    <row r="50" spans="1:7" ht="12.75">
      <c r="A50" s="44">
        <f t="shared" si="1"/>
        <v>44555</v>
      </c>
      <c r="B50" s="35">
        <v>159131423.01</v>
      </c>
      <c r="C50" s="35">
        <v>637835.32</v>
      </c>
      <c r="D50" s="35">
        <f t="shared" si="2"/>
        <v>148849716.82</v>
      </c>
      <c r="E50" s="35">
        <v>9643870.870000001</v>
      </c>
      <c r="F50" s="37">
        <v>4696</v>
      </c>
      <c r="G50" s="35">
        <f t="shared" si="4"/>
        <v>293.37645625456315</v>
      </c>
    </row>
    <row r="51" spans="1:7" ht="12.75">
      <c r="A51" s="44">
        <f t="shared" si="1"/>
        <v>44562</v>
      </c>
      <c r="B51" s="35">
        <v>182189141.31</v>
      </c>
      <c r="C51" s="35">
        <v>489433.1800000001</v>
      </c>
      <c r="D51" s="35">
        <f t="shared" si="2"/>
        <v>169550639.21</v>
      </c>
      <c r="E51" s="35">
        <v>12149068.919999992</v>
      </c>
      <c r="F51" s="37">
        <v>4696</v>
      </c>
      <c r="G51" s="35">
        <f t="shared" si="4"/>
        <v>369.58715380871234</v>
      </c>
    </row>
    <row r="52" spans="1:7" ht="12.75">
      <c r="A52" s="44">
        <f t="shared" si="1"/>
        <v>44569</v>
      </c>
      <c r="B52" s="35">
        <v>155236009.04000002</v>
      </c>
      <c r="C52" s="35">
        <v>582623.08</v>
      </c>
      <c r="D52" s="35">
        <f t="shared" si="2"/>
        <v>144866533.86</v>
      </c>
      <c r="E52" s="35">
        <v>9786852.100000005</v>
      </c>
      <c r="F52" s="37">
        <v>4696</v>
      </c>
      <c r="G52" s="35">
        <f t="shared" si="4"/>
        <v>297.72609211486997</v>
      </c>
    </row>
    <row r="53" spans="1:7" ht="12.75">
      <c r="A53" s="44">
        <f t="shared" si="1"/>
        <v>44576</v>
      </c>
      <c r="B53" s="35">
        <v>157247380.4</v>
      </c>
      <c r="C53" s="35">
        <v>517848.4</v>
      </c>
      <c r="D53" s="35">
        <f t="shared" si="2"/>
        <v>146453144.66</v>
      </c>
      <c r="E53" s="35">
        <v>10276387.339999998</v>
      </c>
      <c r="F53" s="37">
        <v>4695</v>
      </c>
      <c r="G53" s="35">
        <f t="shared" si="4"/>
        <v>312.6848422333789</v>
      </c>
    </row>
    <row r="54" spans="1:7" ht="12.75">
      <c r="A54" s="44">
        <f t="shared" si="1"/>
        <v>44583</v>
      </c>
      <c r="B54" s="35">
        <v>164595061.45</v>
      </c>
      <c r="C54" s="35">
        <v>651387.66</v>
      </c>
      <c r="D54" s="35">
        <f t="shared" si="2"/>
        <v>153500025.09</v>
      </c>
      <c r="E54" s="35">
        <v>10443648.700000001</v>
      </c>
      <c r="F54" s="37">
        <v>4694</v>
      </c>
      <c r="G54" s="35">
        <f t="shared" si="4"/>
        <v>317.8418862986183</v>
      </c>
    </row>
    <row r="55" spans="1:7" ht="12.75">
      <c r="A55" s="44">
        <f t="shared" si="1"/>
        <v>44590</v>
      </c>
      <c r="B55" s="35">
        <v>132547802.79999998</v>
      </c>
      <c r="C55" s="35">
        <v>382578.48</v>
      </c>
      <c r="D55" s="35">
        <f t="shared" si="2"/>
        <v>123693507.66999997</v>
      </c>
      <c r="E55" s="35">
        <v>8471716.650000002</v>
      </c>
      <c r="F55" s="37">
        <v>4694</v>
      </c>
      <c r="G55" s="35">
        <f t="shared" si="4"/>
        <v>257.82812861403625</v>
      </c>
    </row>
    <row r="56" spans="1:7" ht="12.75">
      <c r="A56" s="44">
        <f t="shared" si="1"/>
        <v>44597</v>
      </c>
      <c r="B56" s="35">
        <v>170741398.98000002</v>
      </c>
      <c r="C56" s="35">
        <v>498748.98</v>
      </c>
      <c r="D56" s="35">
        <f t="shared" si="2"/>
        <v>159171495.72000003</v>
      </c>
      <c r="E56" s="35">
        <v>11071154.279999997</v>
      </c>
      <c r="F56" s="37">
        <v>4694</v>
      </c>
      <c r="G56" s="35">
        <f t="shared" si="4"/>
        <v>336.9393840160691</v>
      </c>
    </row>
    <row r="57" spans="1:7" ht="12.75">
      <c r="A57" s="44">
        <f t="shared" si="1"/>
        <v>44604</v>
      </c>
      <c r="B57" s="35">
        <v>181263359.59999996</v>
      </c>
      <c r="C57" s="35">
        <v>476849.79</v>
      </c>
      <c r="D57" s="35">
        <f t="shared" si="2"/>
        <v>168746326.66999996</v>
      </c>
      <c r="E57" s="35">
        <v>12040183.140000008</v>
      </c>
      <c r="F57" s="37">
        <v>4694</v>
      </c>
      <c r="G57" s="35">
        <f t="shared" si="4"/>
        <v>366.4307973705036</v>
      </c>
    </row>
    <row r="58" spans="1:7" ht="12.75">
      <c r="A58" s="44">
        <f t="shared" si="1"/>
        <v>44611</v>
      </c>
      <c r="B58" s="35">
        <v>177293856.07999998</v>
      </c>
      <c r="C58" s="35">
        <v>623973.9899999999</v>
      </c>
      <c r="D58" s="35">
        <f t="shared" si="2"/>
        <v>164889210.18999997</v>
      </c>
      <c r="E58" s="35">
        <v>11780671.899999999</v>
      </c>
      <c r="F58" s="37">
        <v>4694</v>
      </c>
      <c r="G58" s="35">
        <f t="shared" si="4"/>
        <v>358.5328352303853</v>
      </c>
    </row>
    <row r="59" spans="1:7" ht="12.75">
      <c r="A59" s="44">
        <f t="shared" si="1"/>
        <v>44618</v>
      </c>
      <c r="B59" s="35">
        <v>198714386.53</v>
      </c>
      <c r="C59" s="35">
        <v>520062.18</v>
      </c>
      <c r="D59" s="35">
        <f t="shared" si="2"/>
        <v>184532159.42</v>
      </c>
      <c r="E59" s="35">
        <v>13662164.929999998</v>
      </c>
      <c r="F59" s="37">
        <v>4694</v>
      </c>
      <c r="G59" s="35">
        <f t="shared" si="4"/>
        <v>415.79417280418767</v>
      </c>
    </row>
    <row r="60" spans="1:7" ht="12.75">
      <c r="A60" s="44">
        <f t="shared" si="1"/>
        <v>44625</v>
      </c>
      <c r="B60" s="35">
        <v>195999076.87</v>
      </c>
      <c r="C60" s="35">
        <v>612416.3</v>
      </c>
      <c r="D60" s="35">
        <f t="shared" si="2"/>
        <v>182106481.35999998</v>
      </c>
      <c r="E60" s="35">
        <v>13280179.210000003</v>
      </c>
      <c r="F60" s="37">
        <v>4690</v>
      </c>
      <c r="G60" s="35">
        <f t="shared" si="4"/>
        <v>404.513530612245</v>
      </c>
    </row>
    <row r="61" spans="1:7" ht="12.75">
      <c r="A61" s="44">
        <f t="shared" si="1"/>
        <v>44632</v>
      </c>
      <c r="B61" s="35">
        <v>175876521.42999998</v>
      </c>
      <c r="C61" s="35">
        <v>497447.98</v>
      </c>
      <c r="D61" s="35">
        <f t="shared" si="2"/>
        <v>163482161.60999998</v>
      </c>
      <c r="E61" s="35">
        <v>11896911.84</v>
      </c>
      <c r="F61" s="37">
        <v>4679</v>
      </c>
      <c r="G61" s="35">
        <f t="shared" si="4"/>
        <v>363.2312105761304</v>
      </c>
    </row>
    <row r="62" spans="1:7" ht="12.75">
      <c r="A62" s="44">
        <f t="shared" si="1"/>
        <v>44639</v>
      </c>
      <c r="B62" s="35">
        <v>191081218.14999998</v>
      </c>
      <c r="C62" s="35">
        <v>601009.3999999999</v>
      </c>
      <c r="D62" s="35">
        <f t="shared" si="2"/>
        <v>177874696.64</v>
      </c>
      <c r="E62" s="35">
        <v>12605512.109999996</v>
      </c>
      <c r="F62" s="37">
        <v>4676</v>
      </c>
      <c r="G62" s="35">
        <f t="shared" si="4"/>
        <v>385.1127981791518</v>
      </c>
    </row>
    <row r="63" spans="1:7" ht="12.75">
      <c r="A63" s="44">
        <f t="shared" si="1"/>
        <v>44646</v>
      </c>
      <c r="B63" s="35">
        <v>192798122.01999998</v>
      </c>
      <c r="C63" s="35">
        <v>686043.9</v>
      </c>
      <c r="D63" s="35">
        <f t="shared" si="2"/>
        <v>179671486.96999997</v>
      </c>
      <c r="E63" s="35">
        <v>12440591.149999999</v>
      </c>
      <c r="F63" s="37">
        <v>4683</v>
      </c>
      <c r="G63" s="35">
        <f t="shared" si="4"/>
        <v>379.5061514291815</v>
      </c>
    </row>
    <row r="64" ht="12.75">
      <c r="A64" s="44"/>
    </row>
    <row r="65" spans="1:7" ht="13.5" thickBot="1">
      <c r="A65" s="38" t="s">
        <v>8</v>
      </c>
      <c r="B65" s="17">
        <f>IF(SUM(B12:B64)=0,"",SUM(B12:B64))</f>
        <v>9491077932.220001</v>
      </c>
      <c r="C65" s="17">
        <f>IF(SUM(C12:C64)=0,"",SUM(C12:C64))</f>
        <v>29005449.25999999</v>
      </c>
      <c r="D65" s="17">
        <f>IF(SUM(D12:D64)=0,"",SUM(D12:D64))</f>
        <v>8838850772.82</v>
      </c>
      <c r="E65" s="17">
        <f>IF(SUM(E12:E64)=0,"",SUM(E12:E64))</f>
        <v>623221710.14</v>
      </c>
      <c r="F65" s="24">
        <f>_xlfn.IFERROR(SUM(F12:F64)/COUNT(F12:F64)," ")</f>
        <v>4324.120576923077</v>
      </c>
      <c r="G65" s="42">
        <f>_xlfn.IFERROR(E65/SUM(F12:F63)/7," ")</f>
        <v>395.95277811332136</v>
      </c>
    </row>
    <row r="66" spans="1:5" s="39" customFormat="1" ht="13.5" thickTop="1">
      <c r="A66" s="41"/>
      <c r="B66" s="40"/>
      <c r="C66" s="40"/>
      <c r="D66" s="40"/>
      <c r="E66" s="4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8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pane ySplit="10" topLeftCell="A44" activePane="bottomLeft" state="frozen"/>
      <selection pane="topLeft" activeCell="A1" sqref="A1"/>
      <selection pane="bottomLeft" activeCell="B68" sqref="B68"/>
    </sheetView>
  </sheetViews>
  <sheetFormatPr defaultColWidth="9.140625" defaultRowHeight="12.75"/>
  <cols>
    <col min="1" max="1" width="16.00390625" style="38" customWidth="1"/>
    <col min="2" max="5" width="16.00390625" style="35" customWidth="1"/>
    <col min="6" max="6" width="16.00390625" style="37" customWidth="1"/>
    <col min="7" max="7" width="16.00390625" style="35" customWidth="1"/>
    <col min="8" max="16384" width="9.140625" style="36" customWidth="1"/>
  </cols>
  <sheetData>
    <row r="1" spans="1:8" ht="18">
      <c r="A1" s="63" t="s">
        <v>15</v>
      </c>
      <c r="B1" s="63"/>
      <c r="C1" s="63"/>
      <c r="D1" s="63"/>
      <c r="E1" s="63"/>
      <c r="F1" s="63"/>
      <c r="G1" s="63"/>
      <c r="H1" s="60"/>
    </row>
    <row r="2" spans="1:8" ht="15">
      <c r="A2" s="64" t="s">
        <v>16</v>
      </c>
      <c r="B2" s="64"/>
      <c r="C2" s="64"/>
      <c r="D2" s="64"/>
      <c r="E2" s="64"/>
      <c r="F2" s="64"/>
      <c r="G2" s="64"/>
      <c r="H2" s="59"/>
    </row>
    <row r="3" spans="1:8" s="52" customFormat="1" ht="15">
      <c r="A3" s="64" t="s">
        <v>17</v>
      </c>
      <c r="B3" s="64"/>
      <c r="C3" s="64"/>
      <c r="D3" s="64"/>
      <c r="E3" s="64"/>
      <c r="F3" s="64"/>
      <c r="G3" s="64"/>
      <c r="H3" s="59"/>
    </row>
    <row r="4" spans="1:8" s="52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52" customFormat="1" ht="14.25">
      <c r="A5" s="66" t="s">
        <v>19</v>
      </c>
      <c r="B5" s="66"/>
      <c r="C5" s="66"/>
      <c r="D5" s="66"/>
      <c r="E5" s="66"/>
      <c r="F5" s="66"/>
      <c r="G5" s="66"/>
      <c r="H5" s="58"/>
    </row>
    <row r="6" spans="1:8" s="52" customFormat="1" ht="14.25">
      <c r="A6" s="57"/>
      <c r="B6" s="57"/>
      <c r="C6" s="57"/>
      <c r="D6" s="57"/>
      <c r="E6" s="57"/>
      <c r="F6" s="57"/>
      <c r="G6" s="57"/>
      <c r="H6" s="57"/>
    </row>
    <row r="7" spans="1:7" s="56" customFormat="1" ht="14.25" customHeight="1">
      <c r="A7" s="67" t="s">
        <v>32</v>
      </c>
      <c r="B7" s="68"/>
      <c r="C7" s="68"/>
      <c r="D7" s="68"/>
      <c r="E7" s="68"/>
      <c r="F7" s="68"/>
      <c r="G7" s="69"/>
    </row>
    <row r="8" spans="1:7" s="52" customFormat="1" ht="9" customHeight="1">
      <c r="A8" s="38"/>
      <c r="B8" s="55"/>
      <c r="C8" s="55"/>
      <c r="D8" s="55"/>
      <c r="E8" s="53"/>
      <c r="F8" s="54"/>
      <c r="G8" s="53"/>
    </row>
    <row r="9" spans="1:7" s="45" customFormat="1" ht="12">
      <c r="A9" s="51"/>
      <c r="B9" s="49" t="s">
        <v>0</v>
      </c>
      <c r="C9" s="49" t="s">
        <v>21</v>
      </c>
      <c r="D9" s="49" t="s">
        <v>0</v>
      </c>
      <c r="E9" s="49"/>
      <c r="F9" s="50" t="s">
        <v>1</v>
      </c>
      <c r="G9" s="49" t="s">
        <v>2</v>
      </c>
    </row>
    <row r="10" spans="1:7" s="45" customFormat="1" ht="12">
      <c r="A10" s="48" t="s">
        <v>11</v>
      </c>
      <c r="B10" s="46" t="s">
        <v>3</v>
      </c>
      <c r="C10" s="46" t="s">
        <v>24</v>
      </c>
      <c r="D10" s="46" t="s">
        <v>4</v>
      </c>
      <c r="E10" s="46" t="s">
        <v>5</v>
      </c>
      <c r="F10" s="47" t="s">
        <v>6</v>
      </c>
      <c r="G10" s="46" t="s">
        <v>7</v>
      </c>
    </row>
    <row r="12" spans="1:7" ht="12.75">
      <c r="A12" s="22">
        <v>43918</v>
      </c>
      <c r="B12" s="35">
        <v>0</v>
      </c>
      <c r="C12" s="35">
        <v>0</v>
      </c>
      <c r="D12" s="35">
        <f>IF(ISBLANK(B12),"",B12-C12-E12)</f>
        <v>0</v>
      </c>
      <c r="E12" s="35">
        <v>0</v>
      </c>
      <c r="F12" s="37">
        <v>0</v>
      </c>
      <c r="G12" s="35">
        <v>0</v>
      </c>
    </row>
    <row r="13" spans="1:7" ht="12.75">
      <c r="A13" s="44">
        <f aca="true" t="shared" si="0" ref="A13:A64">+A12+7</f>
        <v>43925</v>
      </c>
      <c r="B13" s="35">
        <v>0</v>
      </c>
      <c r="C13" s="35">
        <v>0</v>
      </c>
      <c r="D13" s="35">
        <f>IF(ISBLANK(B13),"",B13-C13-E13)</f>
        <v>0</v>
      </c>
      <c r="E13" s="35">
        <v>0</v>
      </c>
      <c r="F13" s="37">
        <v>0</v>
      </c>
      <c r="G13" s="35">
        <v>0</v>
      </c>
    </row>
    <row r="14" spans="1:7" ht="12.75">
      <c r="A14" s="44">
        <f t="shared" si="0"/>
        <v>43932</v>
      </c>
      <c r="B14" s="35">
        <v>0</v>
      </c>
      <c r="C14" s="35">
        <v>0</v>
      </c>
      <c r="D14" s="35">
        <f aca="true" t="shared" si="1" ref="D14:D63">IF(ISBLANK(B14),"",B14-C14-E14)</f>
        <v>0</v>
      </c>
      <c r="E14" s="35">
        <v>0</v>
      </c>
      <c r="F14" s="37">
        <v>0</v>
      </c>
      <c r="G14" s="35">
        <v>0</v>
      </c>
    </row>
    <row r="15" spans="1:7" ht="12.75">
      <c r="A15" s="44">
        <f t="shared" si="0"/>
        <v>43939</v>
      </c>
      <c r="B15" s="35">
        <v>0</v>
      </c>
      <c r="C15" s="35">
        <v>0</v>
      </c>
      <c r="D15" s="35">
        <f>IF(ISBLANK(B15),"",B15-C15-E15)</f>
        <v>0</v>
      </c>
      <c r="E15" s="35">
        <v>0</v>
      </c>
      <c r="F15" s="37">
        <v>0</v>
      </c>
      <c r="G15" s="35">
        <v>0</v>
      </c>
    </row>
    <row r="16" spans="1:7" ht="12.75">
      <c r="A16" s="44">
        <f t="shared" si="0"/>
        <v>43946</v>
      </c>
      <c r="B16" s="35">
        <v>0</v>
      </c>
      <c r="C16" s="35">
        <v>0</v>
      </c>
      <c r="D16" s="35">
        <f>IF(ISBLANK(B16),"",B16-C16-E16)</f>
        <v>0</v>
      </c>
      <c r="E16" s="35">
        <v>0</v>
      </c>
      <c r="F16" s="37">
        <v>0</v>
      </c>
      <c r="G16" s="35">
        <v>0</v>
      </c>
    </row>
    <row r="17" spans="1:7" ht="12.75">
      <c r="A17" s="44">
        <f t="shared" si="0"/>
        <v>43953</v>
      </c>
      <c r="B17" s="35">
        <v>0</v>
      </c>
      <c r="C17" s="35">
        <v>0</v>
      </c>
      <c r="D17" s="35">
        <f aca="true" t="shared" si="2" ref="D17:D35">IF(ISBLANK(B17),"",B17-C17-E17)</f>
        <v>0</v>
      </c>
      <c r="E17" s="35">
        <v>0</v>
      </c>
      <c r="F17" s="37">
        <v>0</v>
      </c>
      <c r="G17" s="35">
        <v>0</v>
      </c>
    </row>
    <row r="18" spans="1:7" ht="12.75">
      <c r="A18" s="44">
        <f t="shared" si="0"/>
        <v>43960</v>
      </c>
      <c r="B18" s="35">
        <v>0</v>
      </c>
      <c r="C18" s="35">
        <v>0</v>
      </c>
      <c r="D18" s="35">
        <f t="shared" si="2"/>
        <v>0</v>
      </c>
      <c r="E18" s="35">
        <v>0</v>
      </c>
      <c r="F18" s="37">
        <v>0</v>
      </c>
      <c r="G18" s="35">
        <v>0</v>
      </c>
    </row>
    <row r="19" spans="1:7" ht="12.75">
      <c r="A19" s="44">
        <f t="shared" si="0"/>
        <v>43967</v>
      </c>
      <c r="B19" s="35">
        <v>0</v>
      </c>
      <c r="C19" s="35">
        <v>0</v>
      </c>
      <c r="D19" s="35">
        <f t="shared" si="2"/>
        <v>0</v>
      </c>
      <c r="E19" s="35">
        <v>0</v>
      </c>
      <c r="F19" s="37">
        <v>0</v>
      </c>
      <c r="G19" s="35">
        <v>0</v>
      </c>
    </row>
    <row r="20" spans="1:7" ht="12.75">
      <c r="A20" s="44">
        <f t="shared" si="0"/>
        <v>43974</v>
      </c>
      <c r="B20" s="35">
        <v>0</v>
      </c>
      <c r="C20" s="35">
        <v>0</v>
      </c>
      <c r="D20" s="35">
        <f t="shared" si="2"/>
        <v>0</v>
      </c>
      <c r="E20" s="35">
        <v>0</v>
      </c>
      <c r="F20" s="37">
        <v>0</v>
      </c>
      <c r="G20" s="35">
        <v>0</v>
      </c>
    </row>
    <row r="21" spans="1:7" ht="12.75">
      <c r="A21" s="44">
        <f t="shared" si="0"/>
        <v>43981</v>
      </c>
      <c r="B21" s="35">
        <v>0</v>
      </c>
      <c r="C21" s="35">
        <v>0</v>
      </c>
      <c r="D21" s="35">
        <f t="shared" si="2"/>
        <v>0</v>
      </c>
      <c r="E21" s="35">
        <v>0</v>
      </c>
      <c r="F21" s="37">
        <v>0</v>
      </c>
      <c r="G21" s="35">
        <v>0</v>
      </c>
    </row>
    <row r="22" spans="1:7" ht="12.75">
      <c r="A22" s="44">
        <f t="shared" si="0"/>
        <v>43988</v>
      </c>
      <c r="B22" s="35">
        <v>0</v>
      </c>
      <c r="C22" s="35">
        <v>0</v>
      </c>
      <c r="D22" s="35">
        <f t="shared" si="2"/>
        <v>0</v>
      </c>
      <c r="E22" s="35">
        <v>0</v>
      </c>
      <c r="F22" s="37">
        <v>0</v>
      </c>
      <c r="G22" s="35">
        <v>0</v>
      </c>
    </row>
    <row r="23" spans="1:7" ht="12.75">
      <c r="A23" s="44">
        <f t="shared" si="0"/>
        <v>43995</v>
      </c>
      <c r="B23" s="35">
        <v>0</v>
      </c>
      <c r="C23" s="35">
        <v>0</v>
      </c>
      <c r="D23" s="35">
        <f t="shared" si="2"/>
        <v>0</v>
      </c>
      <c r="E23" s="35">
        <v>0</v>
      </c>
      <c r="F23" s="37">
        <v>0</v>
      </c>
      <c r="G23" s="35">
        <v>0</v>
      </c>
    </row>
    <row r="24" spans="1:7" ht="12.75">
      <c r="A24" s="44">
        <f t="shared" si="0"/>
        <v>44002</v>
      </c>
      <c r="B24" s="35">
        <v>0</v>
      </c>
      <c r="C24" s="35">
        <v>0</v>
      </c>
      <c r="D24" s="35">
        <f t="shared" si="2"/>
        <v>0</v>
      </c>
      <c r="E24" s="35">
        <v>0</v>
      </c>
      <c r="F24" s="37">
        <v>0</v>
      </c>
      <c r="G24" s="35">
        <v>0</v>
      </c>
    </row>
    <row r="25" spans="1:7" ht="12.75">
      <c r="A25" s="44">
        <f t="shared" si="0"/>
        <v>44009</v>
      </c>
      <c r="B25" s="35">
        <v>0</v>
      </c>
      <c r="C25" s="35">
        <v>0</v>
      </c>
      <c r="D25" s="35">
        <f t="shared" si="2"/>
        <v>0</v>
      </c>
      <c r="E25" s="35">
        <v>0</v>
      </c>
      <c r="F25" s="37">
        <v>0</v>
      </c>
      <c r="G25" s="35">
        <v>0</v>
      </c>
    </row>
    <row r="26" spans="1:7" ht="12.75">
      <c r="A26" s="44">
        <f t="shared" si="0"/>
        <v>44016</v>
      </c>
      <c r="B26" s="35">
        <v>0</v>
      </c>
      <c r="C26" s="35">
        <v>0</v>
      </c>
      <c r="D26" s="35">
        <f t="shared" si="2"/>
        <v>0</v>
      </c>
      <c r="E26" s="35">
        <v>0</v>
      </c>
      <c r="F26" s="37">
        <v>0</v>
      </c>
      <c r="G26" s="35">
        <v>0</v>
      </c>
    </row>
    <row r="27" spans="1:7" ht="12.75">
      <c r="A27" s="44">
        <f t="shared" si="0"/>
        <v>44023</v>
      </c>
      <c r="B27" s="35">
        <v>0</v>
      </c>
      <c r="C27" s="35">
        <v>0</v>
      </c>
      <c r="D27" s="35">
        <f t="shared" si="2"/>
        <v>0</v>
      </c>
      <c r="E27" s="35">
        <v>0</v>
      </c>
      <c r="F27" s="37">
        <v>0</v>
      </c>
      <c r="G27" s="35">
        <v>0</v>
      </c>
    </row>
    <row r="28" spans="1:7" ht="12.75">
      <c r="A28" s="44">
        <f t="shared" si="0"/>
        <v>44030</v>
      </c>
      <c r="B28" s="35">
        <v>0</v>
      </c>
      <c r="C28" s="35">
        <v>0</v>
      </c>
      <c r="D28" s="35">
        <f t="shared" si="2"/>
        <v>0</v>
      </c>
      <c r="E28" s="35">
        <v>0</v>
      </c>
      <c r="F28" s="37">
        <v>0</v>
      </c>
      <c r="G28" s="35">
        <v>0</v>
      </c>
    </row>
    <row r="29" spans="1:7" ht="12.75">
      <c r="A29" s="44">
        <f t="shared" si="0"/>
        <v>44037</v>
      </c>
      <c r="B29" s="35">
        <v>0</v>
      </c>
      <c r="C29" s="35">
        <v>0</v>
      </c>
      <c r="D29" s="35">
        <f t="shared" si="2"/>
        <v>0</v>
      </c>
      <c r="E29" s="35">
        <v>0</v>
      </c>
      <c r="F29" s="37">
        <v>0</v>
      </c>
      <c r="G29" s="35">
        <v>0</v>
      </c>
    </row>
    <row r="30" spans="1:7" ht="12.75">
      <c r="A30" s="44">
        <f t="shared" si="0"/>
        <v>44044</v>
      </c>
      <c r="B30" s="35">
        <v>0</v>
      </c>
      <c r="C30" s="35">
        <v>0</v>
      </c>
      <c r="D30" s="35">
        <f t="shared" si="2"/>
        <v>0</v>
      </c>
      <c r="E30" s="35">
        <v>0</v>
      </c>
      <c r="F30" s="37">
        <v>0</v>
      </c>
      <c r="G30" s="35">
        <v>0</v>
      </c>
    </row>
    <row r="31" spans="1:7" ht="12.75">
      <c r="A31" s="44">
        <f t="shared" si="0"/>
        <v>44051</v>
      </c>
      <c r="B31" s="35">
        <v>0</v>
      </c>
      <c r="C31" s="35">
        <v>0</v>
      </c>
      <c r="D31" s="35">
        <f t="shared" si="2"/>
        <v>0</v>
      </c>
      <c r="E31" s="35">
        <v>0</v>
      </c>
      <c r="F31" s="37">
        <v>0</v>
      </c>
      <c r="G31" s="35">
        <v>0</v>
      </c>
    </row>
    <row r="32" spans="1:7" ht="12.75">
      <c r="A32" s="44">
        <f t="shared" si="0"/>
        <v>44058</v>
      </c>
      <c r="B32" s="35">
        <v>0</v>
      </c>
      <c r="C32" s="35">
        <v>0</v>
      </c>
      <c r="D32" s="35">
        <f t="shared" si="2"/>
        <v>0</v>
      </c>
      <c r="E32" s="35">
        <v>0</v>
      </c>
      <c r="F32" s="37">
        <v>0</v>
      </c>
      <c r="G32" s="35">
        <v>0</v>
      </c>
    </row>
    <row r="33" spans="1:7" ht="12.75">
      <c r="A33" s="44">
        <f t="shared" si="0"/>
        <v>44065</v>
      </c>
      <c r="B33" s="35">
        <v>0</v>
      </c>
      <c r="C33" s="35">
        <v>0</v>
      </c>
      <c r="D33" s="35">
        <f t="shared" si="2"/>
        <v>0</v>
      </c>
      <c r="E33" s="35">
        <v>0</v>
      </c>
      <c r="F33" s="37">
        <v>0</v>
      </c>
      <c r="G33" s="35">
        <v>0</v>
      </c>
    </row>
    <row r="34" spans="1:7" ht="12.75">
      <c r="A34" s="44">
        <f t="shared" si="0"/>
        <v>44072</v>
      </c>
      <c r="B34" s="35">
        <v>0</v>
      </c>
      <c r="C34" s="35">
        <v>0</v>
      </c>
      <c r="D34" s="35">
        <f t="shared" si="2"/>
        <v>0</v>
      </c>
      <c r="E34" s="35">
        <v>0</v>
      </c>
      <c r="F34" s="37">
        <v>0</v>
      </c>
      <c r="G34" s="35">
        <v>0</v>
      </c>
    </row>
    <row r="35" spans="1:7" ht="12.75">
      <c r="A35" s="44">
        <f t="shared" si="0"/>
        <v>44079</v>
      </c>
      <c r="B35" s="35">
        <v>0</v>
      </c>
      <c r="C35" s="35">
        <v>0</v>
      </c>
      <c r="D35" s="35">
        <f t="shared" si="2"/>
        <v>0</v>
      </c>
      <c r="E35" s="35">
        <v>0</v>
      </c>
      <c r="F35" s="37">
        <v>0</v>
      </c>
      <c r="G35" s="35">
        <v>0</v>
      </c>
    </row>
    <row r="36" spans="1:7" ht="12.75">
      <c r="A36" s="44">
        <f t="shared" si="0"/>
        <v>44086</v>
      </c>
      <c r="B36" s="35">
        <v>2179761.57</v>
      </c>
      <c r="C36" s="35">
        <v>17642.7</v>
      </c>
      <c r="D36" s="35">
        <f t="shared" si="1"/>
        <v>2044647.38</v>
      </c>
      <c r="E36" s="35">
        <v>117471.48999999973</v>
      </c>
      <c r="F36" s="37">
        <v>1892</v>
      </c>
      <c r="G36" s="35">
        <f>IF(ISBLANK(B36),"",E36/F36/1)</f>
        <v>62.08852536997872</v>
      </c>
    </row>
    <row r="37" spans="1:7" ht="12.75">
      <c r="A37" s="44">
        <f t="shared" si="0"/>
        <v>44093</v>
      </c>
      <c r="B37" s="35">
        <v>38885129.26</v>
      </c>
      <c r="C37" s="35">
        <v>80246.8</v>
      </c>
      <c r="D37" s="35">
        <f t="shared" si="1"/>
        <v>36235839.29</v>
      </c>
      <c r="E37" s="35">
        <v>2569043.1700000004</v>
      </c>
      <c r="F37" s="37">
        <v>1892</v>
      </c>
      <c r="G37" s="35">
        <f aca="true" t="shared" si="3" ref="G37:G64">IF(ISBLANK(B37),"",E37/F37/7)</f>
        <v>193.97788961038964</v>
      </c>
    </row>
    <row r="38" spans="1:7" ht="12.75">
      <c r="A38" s="44">
        <f t="shared" si="0"/>
        <v>44100</v>
      </c>
      <c r="B38" s="35">
        <v>157787955.27</v>
      </c>
      <c r="C38" s="35">
        <v>224149.9</v>
      </c>
      <c r="D38" s="35">
        <f t="shared" si="1"/>
        <v>146910360.54</v>
      </c>
      <c r="E38" s="35">
        <v>10653444.83</v>
      </c>
      <c r="F38" s="37">
        <v>1892</v>
      </c>
      <c r="G38" s="35">
        <f t="shared" si="3"/>
        <v>804.3978276955603</v>
      </c>
    </row>
    <row r="39" spans="1:7" ht="12.75">
      <c r="A39" s="44">
        <f t="shared" si="0"/>
        <v>44107</v>
      </c>
      <c r="B39" s="35">
        <v>159418618.59</v>
      </c>
      <c r="C39" s="35">
        <v>270888.3</v>
      </c>
      <c r="D39" s="35">
        <f t="shared" si="1"/>
        <v>148383230.87</v>
      </c>
      <c r="E39" s="35">
        <v>10764499.42</v>
      </c>
      <c r="F39" s="37">
        <v>1892</v>
      </c>
      <c r="G39" s="35">
        <f t="shared" si="3"/>
        <v>812.7831032920568</v>
      </c>
    </row>
    <row r="40" spans="1:7" ht="12.75">
      <c r="A40" s="44">
        <f t="shared" si="0"/>
        <v>44114</v>
      </c>
      <c r="B40" s="35">
        <v>153202713.23</v>
      </c>
      <c r="C40" s="35">
        <v>339407.31</v>
      </c>
      <c r="D40" s="35">
        <f t="shared" si="1"/>
        <v>143361938.92</v>
      </c>
      <c r="E40" s="35">
        <v>9501367.000000002</v>
      </c>
      <c r="F40" s="37">
        <v>1892</v>
      </c>
      <c r="G40" s="35">
        <f t="shared" si="3"/>
        <v>717.4091664149804</v>
      </c>
    </row>
    <row r="41" spans="1:7" ht="12.75">
      <c r="A41" s="44">
        <f t="shared" si="0"/>
        <v>44121</v>
      </c>
      <c r="B41" s="35">
        <v>157096728.85</v>
      </c>
      <c r="C41" s="35">
        <v>348121.37</v>
      </c>
      <c r="D41" s="35">
        <f t="shared" si="1"/>
        <v>147191310.02</v>
      </c>
      <c r="E41" s="35">
        <v>9557297.459999992</v>
      </c>
      <c r="F41" s="37">
        <v>1892</v>
      </c>
      <c r="G41" s="35">
        <f t="shared" si="3"/>
        <v>721.6322455451519</v>
      </c>
    </row>
    <row r="42" spans="1:7" ht="12.75">
      <c r="A42" s="44">
        <f t="shared" si="0"/>
        <v>44128</v>
      </c>
      <c r="B42" s="35">
        <v>153561691.67000002</v>
      </c>
      <c r="C42" s="35">
        <v>354422.54</v>
      </c>
      <c r="D42" s="35">
        <f t="shared" si="1"/>
        <v>143470496.71000004</v>
      </c>
      <c r="E42" s="35">
        <v>9736772.42</v>
      </c>
      <c r="F42" s="37">
        <v>1904</v>
      </c>
      <c r="G42" s="35">
        <f t="shared" si="3"/>
        <v>730.5501515606242</v>
      </c>
    </row>
    <row r="43" spans="1:7" ht="12.75">
      <c r="A43" s="44">
        <f t="shared" si="0"/>
        <v>44135</v>
      </c>
      <c r="B43" s="35">
        <v>156405602.44</v>
      </c>
      <c r="C43" s="35">
        <v>420543.94000000006</v>
      </c>
      <c r="D43" s="35">
        <f t="shared" si="1"/>
        <v>146402847.15</v>
      </c>
      <c r="E43" s="35">
        <v>9582211.349999996</v>
      </c>
      <c r="F43" s="37">
        <v>1940</v>
      </c>
      <c r="G43" s="35">
        <f t="shared" si="3"/>
        <v>705.6120287187038</v>
      </c>
    </row>
    <row r="44" spans="1:7" ht="12.75">
      <c r="A44" s="44">
        <f t="shared" si="0"/>
        <v>44142</v>
      </c>
      <c r="B44" s="35">
        <v>162580730.95999998</v>
      </c>
      <c r="C44" s="35">
        <v>543173.6799999999</v>
      </c>
      <c r="D44" s="35">
        <f t="shared" si="1"/>
        <v>151942114.89</v>
      </c>
      <c r="E44" s="35">
        <v>10095442.389999999</v>
      </c>
      <c r="F44" s="37">
        <v>1978</v>
      </c>
      <c r="G44" s="35">
        <f t="shared" si="3"/>
        <v>729.1233850931676</v>
      </c>
    </row>
    <row r="45" spans="1:7" ht="12.75">
      <c r="A45" s="44">
        <f t="shared" si="0"/>
        <v>44149</v>
      </c>
      <c r="B45" s="35">
        <v>143570361.86</v>
      </c>
      <c r="C45" s="35">
        <v>673175.39</v>
      </c>
      <c r="D45" s="35">
        <f t="shared" si="1"/>
        <v>134151859.17000003</v>
      </c>
      <c r="E45" s="35">
        <v>8745327.300000003</v>
      </c>
      <c r="F45" s="37">
        <v>2052</v>
      </c>
      <c r="G45" s="35">
        <f t="shared" si="3"/>
        <v>608.836487050961</v>
      </c>
    </row>
    <row r="46" spans="1:7" ht="12.75">
      <c r="A46" s="44">
        <f t="shared" si="0"/>
        <v>44156</v>
      </c>
      <c r="B46" s="35">
        <v>115033347.66</v>
      </c>
      <c r="C46" s="35">
        <v>573930.84</v>
      </c>
      <c r="D46" s="35">
        <f t="shared" si="1"/>
        <v>107436918.2</v>
      </c>
      <c r="E46" s="35">
        <v>7022498.619999995</v>
      </c>
      <c r="F46" s="37">
        <v>2109</v>
      </c>
      <c r="G46" s="35">
        <f t="shared" si="3"/>
        <v>475.682355889724</v>
      </c>
    </row>
    <row r="47" spans="1:7" ht="12.75">
      <c r="A47" s="44">
        <f t="shared" si="0"/>
        <v>44163</v>
      </c>
      <c r="B47" s="35">
        <v>125197968.99000001</v>
      </c>
      <c r="C47" s="35">
        <v>696981.77</v>
      </c>
      <c r="D47" s="35">
        <f t="shared" si="1"/>
        <v>116826410.65000002</v>
      </c>
      <c r="E47" s="35">
        <v>7674576.569999999</v>
      </c>
      <c r="F47" s="37">
        <v>2109</v>
      </c>
      <c r="G47" s="35">
        <f t="shared" si="3"/>
        <v>519.8521011989433</v>
      </c>
    </row>
    <row r="48" spans="1:7" ht="12.75">
      <c r="A48" s="44">
        <f t="shared" si="0"/>
        <v>44170</v>
      </c>
      <c r="B48" s="35">
        <v>125183767.48</v>
      </c>
      <c r="C48" s="35">
        <v>525001.99</v>
      </c>
      <c r="D48" s="35">
        <f t="shared" si="1"/>
        <v>116945083.96000001</v>
      </c>
      <c r="E48" s="35">
        <v>7713681.53</v>
      </c>
      <c r="F48" s="37">
        <v>2161</v>
      </c>
      <c r="G48" s="35">
        <f t="shared" si="3"/>
        <v>509.9280445560918</v>
      </c>
    </row>
    <row r="49" spans="1:7" ht="12.75">
      <c r="A49" s="44">
        <f t="shared" si="0"/>
        <v>44177</v>
      </c>
      <c r="B49" s="35">
        <v>122935123.52</v>
      </c>
      <c r="C49" s="35">
        <v>376817.37</v>
      </c>
      <c r="D49" s="35">
        <f t="shared" si="1"/>
        <v>114833117.38</v>
      </c>
      <c r="E49" s="35">
        <v>7725188.77</v>
      </c>
      <c r="F49" s="37">
        <v>2210</v>
      </c>
      <c r="G49" s="35">
        <f t="shared" si="3"/>
        <v>499.36578991596633</v>
      </c>
    </row>
    <row r="50" spans="1:7" ht="12.75">
      <c r="A50" s="44">
        <f t="shared" si="0"/>
        <v>44184</v>
      </c>
      <c r="B50" s="35">
        <v>110622297.47</v>
      </c>
      <c r="C50" s="35">
        <v>335220.97</v>
      </c>
      <c r="D50" s="35">
        <f t="shared" si="1"/>
        <v>103876362.26</v>
      </c>
      <c r="E50" s="35">
        <v>6410714.24</v>
      </c>
      <c r="F50" s="37">
        <v>2242</v>
      </c>
      <c r="G50" s="35">
        <f t="shared" si="3"/>
        <v>408.48185548617306</v>
      </c>
    </row>
    <row r="51" spans="1:7" ht="12.75">
      <c r="A51" s="44">
        <f t="shared" si="0"/>
        <v>44191</v>
      </c>
      <c r="B51" s="35">
        <v>125816414.97999999</v>
      </c>
      <c r="C51" s="35">
        <v>405744.19000000006</v>
      </c>
      <c r="D51" s="35">
        <f t="shared" si="1"/>
        <v>117913434.97999999</v>
      </c>
      <c r="E51" s="35">
        <v>7497235.809999999</v>
      </c>
      <c r="F51" s="37">
        <v>2238</v>
      </c>
      <c r="G51" s="35">
        <f t="shared" si="3"/>
        <v>478.56733116302814</v>
      </c>
    </row>
    <row r="52" spans="1:7" ht="12.75">
      <c r="A52" s="44">
        <f t="shared" si="0"/>
        <v>44198</v>
      </c>
      <c r="B52" s="35">
        <v>149615993.82</v>
      </c>
      <c r="C52" s="35">
        <v>382540.8</v>
      </c>
      <c r="D52" s="35">
        <f t="shared" si="1"/>
        <v>139472673.35</v>
      </c>
      <c r="E52" s="35">
        <v>9760779.67</v>
      </c>
      <c r="F52" s="37">
        <v>2242</v>
      </c>
      <c r="G52" s="35">
        <f t="shared" si="3"/>
        <v>621.9433968395566</v>
      </c>
    </row>
    <row r="53" spans="1:7" ht="12.75">
      <c r="A53" s="44">
        <f t="shared" si="0"/>
        <v>44205</v>
      </c>
      <c r="B53" s="35">
        <v>135482125.01999998</v>
      </c>
      <c r="C53" s="35">
        <v>378360.72000000003</v>
      </c>
      <c r="D53" s="35">
        <f t="shared" si="1"/>
        <v>126276867.56999998</v>
      </c>
      <c r="E53" s="35">
        <v>8826896.730000002</v>
      </c>
      <c r="F53" s="37">
        <v>2253</v>
      </c>
      <c r="G53" s="35">
        <f t="shared" si="3"/>
        <v>559.6916321095683</v>
      </c>
    </row>
    <row r="54" spans="1:7" ht="12.75">
      <c r="A54" s="44">
        <f t="shared" si="0"/>
        <v>44212</v>
      </c>
      <c r="B54" s="35">
        <v>136934487.32</v>
      </c>
      <c r="C54" s="35">
        <v>468078.06000000006</v>
      </c>
      <c r="D54" s="35">
        <f t="shared" si="1"/>
        <v>127941230.6</v>
      </c>
      <c r="E54" s="35">
        <v>8525178.66</v>
      </c>
      <c r="F54" s="37">
        <v>2259</v>
      </c>
      <c r="G54" s="35">
        <f t="shared" si="3"/>
        <v>539.1246860178334</v>
      </c>
    </row>
    <row r="55" spans="1:7" ht="12.75">
      <c r="A55" s="44">
        <f t="shared" si="0"/>
        <v>44219</v>
      </c>
      <c r="B55" s="35">
        <v>142052253.18</v>
      </c>
      <c r="C55" s="35">
        <v>626744.25</v>
      </c>
      <c r="D55" s="35">
        <f t="shared" si="1"/>
        <v>132586655.32000001</v>
      </c>
      <c r="E55" s="35">
        <v>8838853.61</v>
      </c>
      <c r="F55" s="37">
        <v>2270</v>
      </c>
      <c r="G55" s="35">
        <f t="shared" si="3"/>
        <v>556.2525871617369</v>
      </c>
    </row>
    <row r="56" spans="1:7" ht="12.75">
      <c r="A56" s="44">
        <f t="shared" si="0"/>
        <v>44226</v>
      </c>
      <c r="B56" s="35">
        <v>133173897.82999998</v>
      </c>
      <c r="C56" s="35">
        <v>458029.39999999997</v>
      </c>
      <c r="D56" s="35">
        <f t="shared" si="1"/>
        <v>124113358.83999997</v>
      </c>
      <c r="E56" s="35">
        <v>8602509.59</v>
      </c>
      <c r="F56" s="37">
        <v>2326</v>
      </c>
      <c r="G56" s="35">
        <f t="shared" si="3"/>
        <v>528.3447727551898</v>
      </c>
    </row>
    <row r="57" spans="1:7" ht="12.75">
      <c r="A57" s="44">
        <f t="shared" si="0"/>
        <v>44233</v>
      </c>
      <c r="B57" s="35">
        <v>117094583.38000001</v>
      </c>
      <c r="C57" s="35">
        <v>372500.85000000003</v>
      </c>
      <c r="D57" s="35">
        <f t="shared" si="1"/>
        <v>109401355.50000001</v>
      </c>
      <c r="E57" s="35">
        <v>7320727.030000005</v>
      </c>
      <c r="F57" s="37">
        <v>2402</v>
      </c>
      <c r="G57" s="35">
        <f t="shared" si="3"/>
        <v>435.3947323658859</v>
      </c>
    </row>
    <row r="58" spans="1:7" ht="12.75">
      <c r="A58" s="44">
        <f t="shared" si="0"/>
        <v>44240</v>
      </c>
      <c r="B58" s="35">
        <v>123101964.67999999</v>
      </c>
      <c r="C58" s="35">
        <v>386275.20999999996</v>
      </c>
      <c r="D58" s="35">
        <f t="shared" si="1"/>
        <v>114847254.18</v>
      </c>
      <c r="E58" s="35">
        <v>7868435.289999997</v>
      </c>
      <c r="F58" s="37">
        <v>2460</v>
      </c>
      <c r="G58" s="35">
        <f t="shared" si="3"/>
        <v>456.9358472706154</v>
      </c>
    </row>
    <row r="59" spans="1:7" ht="12.75">
      <c r="A59" s="44">
        <f t="shared" si="0"/>
        <v>44247</v>
      </c>
      <c r="B59" s="35">
        <v>143886455.53</v>
      </c>
      <c r="C59" s="35">
        <v>584461.79</v>
      </c>
      <c r="D59" s="35">
        <f t="shared" si="1"/>
        <v>134301448.49</v>
      </c>
      <c r="E59" s="35">
        <v>9000545.25</v>
      </c>
      <c r="F59" s="37">
        <v>2559.4285714285716</v>
      </c>
      <c r="G59" s="35">
        <f t="shared" si="3"/>
        <v>502.3747069658406</v>
      </c>
    </row>
    <row r="60" spans="1:7" ht="12.75">
      <c r="A60" s="44">
        <f t="shared" si="0"/>
        <v>44254</v>
      </c>
      <c r="B60" s="35">
        <v>154981835.3</v>
      </c>
      <c r="C60" s="35">
        <v>538992.9700000001</v>
      </c>
      <c r="D60" s="35">
        <f t="shared" si="1"/>
        <v>144331770.86</v>
      </c>
      <c r="E60" s="35">
        <v>10111071.469999995</v>
      </c>
      <c r="F60" s="37">
        <v>2617</v>
      </c>
      <c r="G60" s="35">
        <f t="shared" si="3"/>
        <v>551.9445095256289</v>
      </c>
    </row>
    <row r="61" spans="1:7" ht="12.75">
      <c r="A61" s="44">
        <f t="shared" si="0"/>
        <v>44261</v>
      </c>
      <c r="B61" s="35">
        <v>157837531.81</v>
      </c>
      <c r="C61" s="35">
        <v>410879.80999999994</v>
      </c>
      <c r="D61" s="35">
        <f t="shared" si="1"/>
        <v>147575930.51</v>
      </c>
      <c r="E61" s="35">
        <v>9850721.49000001</v>
      </c>
      <c r="F61" s="37">
        <v>2663</v>
      </c>
      <c r="G61" s="35">
        <f t="shared" si="3"/>
        <v>528.4438329488767</v>
      </c>
    </row>
    <row r="62" spans="1:7" ht="12.75">
      <c r="A62" s="44">
        <f t="shared" si="0"/>
        <v>44268</v>
      </c>
      <c r="B62" s="35">
        <v>157766583.95999998</v>
      </c>
      <c r="C62" s="35">
        <v>426983.99</v>
      </c>
      <c r="D62" s="35">
        <f t="shared" si="1"/>
        <v>146693932.94</v>
      </c>
      <c r="E62" s="35">
        <v>10645667.029999983</v>
      </c>
      <c r="F62" s="37">
        <v>2707</v>
      </c>
      <c r="G62" s="35">
        <f t="shared" si="3"/>
        <v>561.8062710433259</v>
      </c>
    </row>
    <row r="63" spans="1:7" ht="12.75">
      <c r="A63" s="44">
        <f t="shared" si="0"/>
        <v>44275</v>
      </c>
      <c r="B63" s="35">
        <v>176225063.52999997</v>
      </c>
      <c r="C63" s="35">
        <v>441392.05999999994</v>
      </c>
      <c r="D63" s="35">
        <f t="shared" si="1"/>
        <v>164142786.05999997</v>
      </c>
      <c r="E63" s="35">
        <v>11640885.410000002</v>
      </c>
      <c r="F63" s="37">
        <v>2758</v>
      </c>
      <c r="G63" s="35">
        <f t="shared" si="3"/>
        <v>602.9672335025382</v>
      </c>
    </row>
    <row r="64" spans="1:7" ht="12.75">
      <c r="A64" s="44">
        <f t="shared" si="0"/>
        <v>44282</v>
      </c>
      <c r="B64" s="35">
        <v>172867082.60000002</v>
      </c>
      <c r="C64" s="35">
        <v>375574.93999999994</v>
      </c>
      <c r="D64" s="35">
        <f>IF(ISBLANK(B64),"",B64-C64-E64)</f>
        <v>160608296.03000003</v>
      </c>
      <c r="E64" s="35">
        <v>11883211.629999997</v>
      </c>
      <c r="F64" s="37">
        <v>2819</v>
      </c>
      <c r="G64" s="35">
        <f t="shared" si="3"/>
        <v>602.1999508437641</v>
      </c>
    </row>
    <row r="65" ht="12.75">
      <c r="A65" s="44"/>
    </row>
    <row r="66" spans="1:7" ht="13.5" thickBot="1">
      <c r="A66" s="38" t="s">
        <v>8</v>
      </c>
      <c r="B66" s="42">
        <f>SUM(B12:B64)</f>
        <v>3910498071.7600007</v>
      </c>
      <c r="C66" s="42">
        <f>SUM(C12:C64)</f>
        <v>12036283.910000002</v>
      </c>
      <c r="D66" s="42">
        <f>SUM(D12:D64)</f>
        <v>3650219532.6200004</v>
      </c>
      <c r="E66" s="42">
        <f>SUM(E12:E64)</f>
        <v>248242255.22999993</v>
      </c>
      <c r="F66" s="43">
        <f>_xlfn.IFERROR(SUM(F36:F64)/COUNT(F36:F64)," ")</f>
        <v>2228.6354679802957</v>
      </c>
      <c r="G66" s="42">
        <f>E66/F66/198</f>
        <v>562.5634078793919</v>
      </c>
    </row>
    <row r="67" spans="1:5" s="39" customFormat="1" ht="13.5" thickTop="1">
      <c r="A67" s="41"/>
      <c r="B67" s="40"/>
      <c r="C67" s="40"/>
      <c r="D67" s="40"/>
      <c r="E67" s="4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">
      <pane ySplit="10" topLeftCell="A41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16.00390625" style="38" customWidth="1"/>
    <col min="2" max="5" width="16.00390625" style="35" customWidth="1"/>
    <col min="6" max="6" width="16.00390625" style="37" customWidth="1"/>
    <col min="7" max="7" width="16.00390625" style="35" customWidth="1"/>
    <col min="8" max="16384" width="9.140625" style="36" customWidth="1"/>
  </cols>
  <sheetData>
    <row r="1" spans="1:8" ht="18">
      <c r="A1" s="63" t="s">
        <v>15</v>
      </c>
      <c r="B1" s="63"/>
      <c r="C1" s="63"/>
      <c r="D1" s="63"/>
      <c r="E1" s="63"/>
      <c r="F1" s="63"/>
      <c r="G1" s="63"/>
      <c r="H1" s="60"/>
    </row>
    <row r="2" spans="1:8" ht="15">
      <c r="A2" s="64" t="s">
        <v>16</v>
      </c>
      <c r="B2" s="64"/>
      <c r="C2" s="64"/>
      <c r="D2" s="64"/>
      <c r="E2" s="64"/>
      <c r="F2" s="64"/>
      <c r="G2" s="64"/>
      <c r="H2" s="59"/>
    </row>
    <row r="3" spans="1:8" s="52" customFormat="1" ht="15">
      <c r="A3" s="64" t="s">
        <v>17</v>
      </c>
      <c r="B3" s="64"/>
      <c r="C3" s="64"/>
      <c r="D3" s="64"/>
      <c r="E3" s="64"/>
      <c r="F3" s="64"/>
      <c r="G3" s="64"/>
      <c r="H3" s="59"/>
    </row>
    <row r="4" spans="1:8" s="52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52" customFormat="1" ht="14.25">
      <c r="A5" s="66" t="s">
        <v>19</v>
      </c>
      <c r="B5" s="66"/>
      <c r="C5" s="66"/>
      <c r="D5" s="66"/>
      <c r="E5" s="66"/>
      <c r="F5" s="66"/>
      <c r="G5" s="66"/>
      <c r="H5" s="58"/>
    </row>
    <row r="6" spans="1:8" s="52" customFormat="1" ht="14.25">
      <c r="A6" s="57"/>
      <c r="B6" s="57"/>
      <c r="C6" s="57"/>
      <c r="D6" s="57"/>
      <c r="E6" s="57"/>
      <c r="F6" s="57"/>
      <c r="G6" s="57"/>
      <c r="H6" s="57"/>
    </row>
    <row r="7" spans="1:7" s="56" customFormat="1" ht="14.25" customHeight="1">
      <c r="A7" s="67" t="s">
        <v>31</v>
      </c>
      <c r="B7" s="68"/>
      <c r="C7" s="68"/>
      <c r="D7" s="68"/>
      <c r="E7" s="68"/>
      <c r="F7" s="68"/>
      <c r="G7" s="69"/>
    </row>
    <row r="8" spans="1:7" s="52" customFormat="1" ht="9" customHeight="1">
      <c r="A8" s="38"/>
      <c r="B8" s="55"/>
      <c r="C8" s="55"/>
      <c r="D8" s="55"/>
      <c r="E8" s="53"/>
      <c r="F8" s="54"/>
      <c r="G8" s="53"/>
    </row>
    <row r="9" spans="1:7" s="45" customFormat="1" ht="12">
      <c r="A9" s="51"/>
      <c r="B9" s="49" t="s">
        <v>0</v>
      </c>
      <c r="C9" s="49" t="s">
        <v>21</v>
      </c>
      <c r="D9" s="49" t="s">
        <v>0</v>
      </c>
      <c r="E9" s="49"/>
      <c r="F9" s="50" t="s">
        <v>1</v>
      </c>
      <c r="G9" s="49" t="s">
        <v>2</v>
      </c>
    </row>
    <row r="10" spans="1:7" s="45" customFormat="1" ht="12">
      <c r="A10" s="48" t="s">
        <v>11</v>
      </c>
      <c r="B10" s="46" t="s">
        <v>3</v>
      </c>
      <c r="C10" s="46" t="s">
        <v>24</v>
      </c>
      <c r="D10" s="46" t="s">
        <v>4</v>
      </c>
      <c r="E10" s="46" t="s">
        <v>5</v>
      </c>
      <c r="F10" s="47" t="s">
        <v>6</v>
      </c>
      <c r="G10" s="46" t="s">
        <v>7</v>
      </c>
    </row>
    <row r="12" spans="1:7" ht="12.75">
      <c r="A12" s="22">
        <v>43554</v>
      </c>
      <c r="B12" s="35">
        <v>209230165</v>
      </c>
      <c r="C12" s="35">
        <v>1913527</v>
      </c>
      <c r="D12" s="35">
        <f>IF(ISBLANK(B12),"",B12-C12-E12)</f>
        <v>194190931</v>
      </c>
      <c r="E12" s="35">
        <v>13125707</v>
      </c>
      <c r="F12" s="37">
        <f aca="true" t="shared" si="0" ref="F12:F18">36554/7</f>
        <v>5222</v>
      </c>
      <c r="G12" s="35">
        <f>IF(ISBLANK(B12),"",E12/F12/7)</f>
        <v>359.0771734967446</v>
      </c>
    </row>
    <row r="13" spans="1:7" ht="12.75">
      <c r="A13" s="44">
        <f aca="true" t="shared" si="1" ref="A13:A63">+A12+7</f>
        <v>43561</v>
      </c>
      <c r="B13" s="35">
        <v>207905013.87</v>
      </c>
      <c r="C13" s="35">
        <v>1627923.72</v>
      </c>
      <c r="D13" s="35">
        <f aca="true" t="shared" si="2" ref="D13:D63">IF(ISBLANK(B13),"",B13-C13-E13)</f>
        <v>193469697.44</v>
      </c>
      <c r="E13" s="35">
        <v>12807392.71</v>
      </c>
      <c r="F13" s="37">
        <f t="shared" si="0"/>
        <v>5222</v>
      </c>
      <c r="G13" s="35">
        <f>IF(ISBLANK(B13),"",E13/F13/7)</f>
        <v>350.36911719647645</v>
      </c>
    </row>
    <row r="14" spans="1:7" ht="12.75">
      <c r="A14" s="44">
        <f t="shared" si="1"/>
        <v>43568</v>
      </c>
      <c r="B14" s="35">
        <v>203249925.65</v>
      </c>
      <c r="C14" s="35">
        <f>1642111.27-64250</f>
        <v>1577861.27</v>
      </c>
      <c r="D14" s="35">
        <f t="shared" si="2"/>
        <v>189033674.73</v>
      </c>
      <c r="E14" s="35">
        <v>12638389.65</v>
      </c>
      <c r="F14" s="37">
        <f t="shared" si="0"/>
        <v>5222</v>
      </c>
      <c r="G14" s="35">
        <f aca="true" t="shared" si="3" ref="G14:G62">IF(ISBLANK(B14),"",E14/F14/7)</f>
        <v>345.74573644471195</v>
      </c>
    </row>
    <row r="15" spans="1:7" ht="12.75">
      <c r="A15" s="44">
        <f t="shared" si="1"/>
        <v>43575</v>
      </c>
      <c r="B15" s="35">
        <v>198992332</v>
      </c>
      <c r="C15" s="35">
        <v>1598217</v>
      </c>
      <c r="D15" s="35">
        <f t="shared" si="2"/>
        <v>185398220</v>
      </c>
      <c r="E15" s="35">
        <v>11995895</v>
      </c>
      <c r="F15" s="37">
        <f t="shared" si="0"/>
        <v>5222</v>
      </c>
      <c r="G15" s="35">
        <f t="shared" si="3"/>
        <v>328.1691470153745</v>
      </c>
    </row>
    <row r="16" spans="1:7" ht="12.75">
      <c r="A16" s="44">
        <f t="shared" si="1"/>
        <v>43582</v>
      </c>
      <c r="B16" s="35">
        <v>204843453.65</v>
      </c>
      <c r="C16" s="35">
        <v>1721834.24</v>
      </c>
      <c r="D16" s="35">
        <f t="shared" si="2"/>
        <v>190853734.81</v>
      </c>
      <c r="E16" s="35">
        <v>12267884.6</v>
      </c>
      <c r="F16" s="37">
        <f t="shared" si="0"/>
        <v>5222</v>
      </c>
      <c r="G16" s="35">
        <f t="shared" si="3"/>
        <v>335.6099086283307</v>
      </c>
    </row>
    <row r="17" spans="1:7" ht="12.75">
      <c r="A17" s="44">
        <f t="shared" si="1"/>
        <v>43589</v>
      </c>
      <c r="B17" s="35">
        <v>217944434.17</v>
      </c>
      <c r="C17" s="35">
        <v>1648593.42</v>
      </c>
      <c r="D17" s="35">
        <f t="shared" si="2"/>
        <v>202428083.43</v>
      </c>
      <c r="E17" s="35">
        <v>13867757.32</v>
      </c>
      <c r="F17" s="37">
        <f t="shared" si="0"/>
        <v>5222</v>
      </c>
      <c r="G17" s="35">
        <f t="shared" si="3"/>
        <v>379.37728620670794</v>
      </c>
    </row>
    <row r="18" spans="1:7" ht="12.75">
      <c r="A18" s="44">
        <f t="shared" si="1"/>
        <v>43596</v>
      </c>
      <c r="B18" s="35">
        <v>190994579.83</v>
      </c>
      <c r="C18" s="35">
        <v>1235230.82</v>
      </c>
      <c r="D18" s="35">
        <f t="shared" si="2"/>
        <v>177693931.14999998</v>
      </c>
      <c r="E18" s="35">
        <v>12065417.86000003</v>
      </c>
      <c r="F18" s="37">
        <f t="shared" si="0"/>
        <v>5222</v>
      </c>
      <c r="G18" s="35">
        <f t="shared" si="3"/>
        <v>330.07106910324535</v>
      </c>
    </row>
    <row r="19" spans="1:7" ht="12.75">
      <c r="A19" s="44">
        <f t="shared" si="1"/>
        <v>43603</v>
      </c>
      <c r="B19" s="35">
        <v>194775198.98</v>
      </c>
      <c r="C19" s="35">
        <v>1478413.91</v>
      </c>
      <c r="D19" s="35">
        <f t="shared" si="2"/>
        <v>181360699.91</v>
      </c>
      <c r="E19" s="35">
        <v>11936085.16</v>
      </c>
      <c r="F19" s="37">
        <f>36554/7</f>
        <v>5222</v>
      </c>
      <c r="G19" s="35">
        <f t="shared" si="3"/>
        <v>326.53294194889753</v>
      </c>
    </row>
    <row r="20" spans="1:7" ht="12.75">
      <c r="A20" s="44">
        <f t="shared" si="1"/>
        <v>43610</v>
      </c>
      <c r="B20" s="35">
        <v>187810199</v>
      </c>
      <c r="C20" s="35">
        <v>1501606</v>
      </c>
      <c r="D20" s="35">
        <f t="shared" si="2"/>
        <v>174806590</v>
      </c>
      <c r="E20" s="35">
        <v>11502003</v>
      </c>
      <c r="F20" s="37">
        <f>36554/7</f>
        <v>5222</v>
      </c>
      <c r="G20" s="35">
        <f t="shared" si="3"/>
        <v>314.65784866225306</v>
      </c>
    </row>
    <row r="21" spans="1:7" ht="12.75">
      <c r="A21" s="44">
        <f t="shared" si="1"/>
        <v>43617</v>
      </c>
      <c r="B21" s="35">
        <v>198055373.9</v>
      </c>
      <c r="C21" s="35">
        <v>1545088.87</v>
      </c>
      <c r="D21" s="35">
        <f t="shared" si="2"/>
        <v>183893796.92000002</v>
      </c>
      <c r="E21" s="35">
        <v>12616488.11</v>
      </c>
      <c r="F21" s="37">
        <f>36554/7</f>
        <v>5222</v>
      </c>
      <c r="G21" s="35">
        <f t="shared" si="3"/>
        <v>345.14658067516547</v>
      </c>
    </row>
    <row r="22" spans="1:7" ht="12.75">
      <c r="A22" s="44">
        <f t="shared" si="1"/>
        <v>43624</v>
      </c>
      <c r="B22" s="35">
        <v>186836738.22</v>
      </c>
      <c r="C22" s="35">
        <f>1217652.11-90154.8</f>
        <v>1127497.31</v>
      </c>
      <c r="D22" s="35">
        <f t="shared" si="2"/>
        <v>173997670.47</v>
      </c>
      <c r="E22" s="35">
        <v>11711570.44</v>
      </c>
      <c r="F22" s="37">
        <f>36554/7</f>
        <v>5222</v>
      </c>
      <c r="G22" s="35">
        <f t="shared" si="3"/>
        <v>320.39094052634454</v>
      </c>
    </row>
    <row r="23" spans="1:7" ht="12.75">
      <c r="A23" s="44">
        <f t="shared" si="1"/>
        <v>43631</v>
      </c>
      <c r="B23" s="35">
        <v>185151821.02</v>
      </c>
      <c r="C23" s="35">
        <v>1195035.27</v>
      </c>
      <c r="D23" s="35">
        <f t="shared" si="2"/>
        <v>172541895.95</v>
      </c>
      <c r="E23" s="35">
        <v>11414889.8</v>
      </c>
      <c r="F23" s="37">
        <f>36554/7</f>
        <v>5222</v>
      </c>
      <c r="G23" s="35">
        <f t="shared" si="3"/>
        <v>312.2747113858949</v>
      </c>
    </row>
    <row r="24" spans="1:7" ht="12.75">
      <c r="A24" s="44">
        <f t="shared" si="1"/>
        <v>43638</v>
      </c>
      <c r="B24" s="35">
        <v>182533914.71</v>
      </c>
      <c r="C24" s="35">
        <v>1157539.56</v>
      </c>
      <c r="D24" s="35">
        <f t="shared" si="2"/>
        <v>170303907.91</v>
      </c>
      <c r="E24" s="35">
        <v>11072467.24</v>
      </c>
      <c r="F24" s="37">
        <f>36394/7</f>
        <v>5199.142857142857</v>
      </c>
      <c r="G24" s="35">
        <f t="shared" si="3"/>
        <v>304.23880969390564</v>
      </c>
    </row>
    <row r="25" spans="1:7" ht="12.75">
      <c r="A25" s="44">
        <f t="shared" si="1"/>
        <v>43645</v>
      </c>
      <c r="B25" s="35">
        <v>186923244.78</v>
      </c>
      <c r="C25" s="35">
        <v>1306075.37</v>
      </c>
      <c r="D25" s="35">
        <f t="shared" si="2"/>
        <v>174295614.57999998</v>
      </c>
      <c r="E25" s="35">
        <v>11321554.83</v>
      </c>
      <c r="F25" s="37">
        <f>36334/7</f>
        <v>5190.571428571428</v>
      </c>
      <c r="G25" s="35">
        <f t="shared" si="3"/>
        <v>311.5967091429515</v>
      </c>
    </row>
    <row r="26" spans="1:7" ht="12.75">
      <c r="A26" s="44">
        <f t="shared" si="1"/>
        <v>43652</v>
      </c>
      <c r="B26" s="35">
        <v>209090704.57</v>
      </c>
      <c r="C26" s="35">
        <v>1226381.56</v>
      </c>
      <c r="D26" s="35">
        <f t="shared" si="2"/>
        <v>194517645</v>
      </c>
      <c r="E26" s="35">
        <v>13346678.01</v>
      </c>
      <c r="F26" s="37">
        <f>36484/7</f>
        <v>5212</v>
      </c>
      <c r="G26" s="35">
        <f t="shared" si="3"/>
        <v>365.822771900011</v>
      </c>
    </row>
    <row r="27" spans="1:7" ht="12.75">
      <c r="A27" s="44">
        <f t="shared" si="1"/>
        <v>43659</v>
      </c>
      <c r="B27" s="35">
        <v>176179629.86</v>
      </c>
      <c r="C27" s="35">
        <f>1055719.74-128488.75</f>
        <v>927230.99</v>
      </c>
      <c r="D27" s="35">
        <f t="shared" si="2"/>
        <v>163795894.38</v>
      </c>
      <c r="E27" s="35">
        <v>11456504.49</v>
      </c>
      <c r="F27" s="37">
        <f>36504/7</f>
        <v>5214.857142857143</v>
      </c>
      <c r="G27" s="35">
        <f t="shared" si="3"/>
        <v>313.8424416502301</v>
      </c>
    </row>
    <row r="28" spans="1:7" ht="12.75">
      <c r="A28" s="44">
        <f t="shared" si="1"/>
        <v>43666</v>
      </c>
      <c r="B28" s="35">
        <v>175006866.48</v>
      </c>
      <c r="C28" s="35">
        <v>1078733.76</v>
      </c>
      <c r="D28" s="35">
        <f t="shared" si="2"/>
        <v>163219098.88</v>
      </c>
      <c r="E28" s="35">
        <v>10709033.84</v>
      </c>
      <c r="F28" s="37">
        <v>5222</v>
      </c>
      <c r="G28" s="35">
        <f t="shared" si="3"/>
        <v>292.96476008097613</v>
      </c>
    </row>
    <row r="29" spans="1:7" ht="12.75">
      <c r="A29" s="44">
        <f t="shared" si="1"/>
        <v>43673</v>
      </c>
      <c r="B29" s="35">
        <v>177248050.45</v>
      </c>
      <c r="C29" s="35">
        <v>1164439.19</v>
      </c>
      <c r="D29" s="35">
        <f t="shared" si="2"/>
        <v>165090771.01999998</v>
      </c>
      <c r="E29" s="35">
        <v>10992840.24</v>
      </c>
      <c r="F29" s="37">
        <v>5222</v>
      </c>
      <c r="G29" s="35">
        <f t="shared" si="3"/>
        <v>300.7287913771407</v>
      </c>
    </row>
    <row r="30" spans="1:7" ht="12.75">
      <c r="A30" s="44">
        <f t="shared" si="1"/>
        <v>43680</v>
      </c>
      <c r="B30" s="35">
        <v>186443049.89</v>
      </c>
      <c r="C30" s="35">
        <v>1158737.04</v>
      </c>
      <c r="D30" s="35">
        <f t="shared" si="2"/>
        <v>173107052.04</v>
      </c>
      <c r="E30" s="35">
        <v>12177260.81</v>
      </c>
      <c r="F30" s="37">
        <f aca="true" t="shared" si="4" ref="F30:F37">36554/7</f>
        <v>5222</v>
      </c>
      <c r="G30" s="35">
        <f t="shared" si="3"/>
        <v>333.1307328883296</v>
      </c>
    </row>
    <row r="31" spans="1:7" ht="12.75">
      <c r="A31" s="44">
        <f t="shared" si="1"/>
        <v>43687</v>
      </c>
      <c r="B31" s="35">
        <v>176297817.3</v>
      </c>
      <c r="C31" s="35">
        <v>917212.99</v>
      </c>
      <c r="D31" s="35">
        <f t="shared" si="2"/>
        <v>163825937.2</v>
      </c>
      <c r="E31" s="35">
        <v>11554667.11</v>
      </c>
      <c r="F31" s="37">
        <f t="shared" si="4"/>
        <v>5222</v>
      </c>
      <c r="G31" s="35">
        <f t="shared" si="3"/>
        <v>316.0985695135963</v>
      </c>
    </row>
    <row r="32" spans="1:7" ht="12.75">
      <c r="A32" s="44">
        <f t="shared" si="1"/>
        <v>43694</v>
      </c>
      <c r="B32" s="35">
        <v>179614020.41</v>
      </c>
      <c r="C32" s="35">
        <v>905599.95</v>
      </c>
      <c r="D32" s="35">
        <f t="shared" si="2"/>
        <v>166982187.70000002</v>
      </c>
      <c r="E32" s="35">
        <v>11726232.760000002</v>
      </c>
      <c r="F32" s="37">
        <f t="shared" si="4"/>
        <v>5222</v>
      </c>
      <c r="G32" s="35">
        <f t="shared" si="3"/>
        <v>320.79205449472016</v>
      </c>
    </row>
    <row r="33" spans="1:7" ht="12.75">
      <c r="A33" s="44">
        <f t="shared" si="1"/>
        <v>43701</v>
      </c>
      <c r="B33" s="35">
        <v>173951694.26999998</v>
      </c>
      <c r="C33" s="35">
        <v>983640.9199999999</v>
      </c>
      <c r="D33" s="35">
        <f t="shared" si="2"/>
        <v>162078367.35</v>
      </c>
      <c r="E33" s="35">
        <v>10889686</v>
      </c>
      <c r="F33" s="37">
        <f t="shared" si="4"/>
        <v>5222</v>
      </c>
      <c r="G33" s="35">
        <f t="shared" si="3"/>
        <v>297.9068227827324</v>
      </c>
    </row>
    <row r="34" spans="1:7" ht="12.75">
      <c r="A34" s="44">
        <f t="shared" si="1"/>
        <v>43708</v>
      </c>
      <c r="B34" s="35">
        <v>183386225.48</v>
      </c>
      <c r="C34" s="35">
        <v>1002401.8399999999</v>
      </c>
      <c r="D34" s="35">
        <f t="shared" si="2"/>
        <v>170904481.67999998</v>
      </c>
      <c r="E34" s="35">
        <v>11479341.96</v>
      </c>
      <c r="F34" s="37">
        <f t="shared" si="4"/>
        <v>5222</v>
      </c>
      <c r="G34" s="35">
        <f t="shared" si="3"/>
        <v>314.03791541281396</v>
      </c>
    </row>
    <row r="35" spans="1:7" ht="12.75">
      <c r="A35" s="44">
        <f t="shared" si="1"/>
        <v>43715</v>
      </c>
      <c r="B35" s="35">
        <v>194475154.87</v>
      </c>
      <c r="C35" s="35">
        <v>887610.1</v>
      </c>
      <c r="D35" s="35">
        <f t="shared" si="2"/>
        <v>181017572.89000002</v>
      </c>
      <c r="E35" s="35">
        <v>12569971.879999995</v>
      </c>
      <c r="F35" s="37">
        <f t="shared" si="4"/>
        <v>5222</v>
      </c>
      <c r="G35" s="35">
        <f t="shared" si="3"/>
        <v>343.87404606882956</v>
      </c>
    </row>
    <row r="36" spans="1:7" ht="12.75">
      <c r="A36" s="44">
        <f t="shared" si="1"/>
        <v>43722</v>
      </c>
      <c r="B36" s="35">
        <v>175532716.72999996</v>
      </c>
      <c r="C36" s="35">
        <v>1010943.03</v>
      </c>
      <c r="D36" s="35">
        <f t="shared" si="2"/>
        <v>163045873.54</v>
      </c>
      <c r="E36" s="35">
        <v>11475900.159999957</v>
      </c>
      <c r="F36" s="37">
        <f t="shared" si="4"/>
        <v>5222</v>
      </c>
      <c r="G36" s="35">
        <f t="shared" si="3"/>
        <v>313.9437588225627</v>
      </c>
    </row>
    <row r="37" spans="1:7" ht="12.75">
      <c r="A37" s="44">
        <f t="shared" si="1"/>
        <v>43729</v>
      </c>
      <c r="B37" s="35">
        <v>175574601.31</v>
      </c>
      <c r="C37" s="35">
        <v>1158683.09</v>
      </c>
      <c r="D37" s="35">
        <f t="shared" si="2"/>
        <v>163191004.20999998</v>
      </c>
      <c r="E37" s="35">
        <v>11224914.01000001</v>
      </c>
      <c r="F37" s="37">
        <f t="shared" si="4"/>
        <v>5222</v>
      </c>
      <c r="G37" s="35">
        <f t="shared" si="3"/>
        <v>307.077584122121</v>
      </c>
    </row>
    <row r="38" spans="1:7" ht="12.75">
      <c r="A38" s="44">
        <f t="shared" si="1"/>
        <v>43736</v>
      </c>
      <c r="B38" s="35">
        <v>173012511.2</v>
      </c>
      <c r="C38" s="35">
        <v>1143504</v>
      </c>
      <c r="D38" s="35">
        <f t="shared" si="2"/>
        <v>160856063.29</v>
      </c>
      <c r="E38" s="35">
        <v>11012943.91</v>
      </c>
      <c r="F38" s="37">
        <f>35576/7</f>
        <v>5082.285714285715</v>
      </c>
      <c r="G38" s="35">
        <f t="shared" si="3"/>
        <v>309.56104986507756</v>
      </c>
    </row>
    <row r="39" spans="1:7" ht="12.75">
      <c r="A39" s="44">
        <f t="shared" si="1"/>
        <v>43743</v>
      </c>
      <c r="B39" s="35">
        <v>189906259.84</v>
      </c>
      <c r="C39" s="35">
        <v>1231183.01</v>
      </c>
      <c r="D39" s="35">
        <f t="shared" si="2"/>
        <v>176604806.22000003</v>
      </c>
      <c r="E39" s="35">
        <v>12070270.61</v>
      </c>
      <c r="F39" s="37">
        <f>35413/7</f>
        <v>5059</v>
      </c>
      <c r="G39" s="35">
        <f t="shared" si="3"/>
        <v>340.8429280207833</v>
      </c>
    </row>
    <row r="40" spans="1:7" ht="12.75">
      <c r="A40" s="44">
        <f t="shared" si="1"/>
        <v>43750</v>
      </c>
      <c r="B40" s="35">
        <v>178689289.62</v>
      </c>
      <c r="C40" s="35">
        <v>927702.0700000001</v>
      </c>
      <c r="D40" s="35">
        <f t="shared" si="2"/>
        <v>166431589.18</v>
      </c>
      <c r="E40" s="35">
        <v>11329998.370000016</v>
      </c>
      <c r="F40" s="37">
        <f>35413/7</f>
        <v>5059</v>
      </c>
      <c r="G40" s="35">
        <f t="shared" si="3"/>
        <v>319.9389594216818</v>
      </c>
    </row>
    <row r="41" spans="1:7" ht="12.75">
      <c r="A41" s="44">
        <f t="shared" si="1"/>
        <v>43757</v>
      </c>
      <c r="B41" s="35">
        <v>178602618.79000002</v>
      </c>
      <c r="C41" s="35">
        <v>1133623.28</v>
      </c>
      <c r="D41" s="35">
        <f t="shared" si="2"/>
        <v>166471388.21999997</v>
      </c>
      <c r="E41" s="35">
        <v>10997607.290000046</v>
      </c>
      <c r="F41" s="37">
        <f>35413/7</f>
        <v>5059</v>
      </c>
      <c r="G41" s="35">
        <f t="shared" si="3"/>
        <v>310.5528277751121</v>
      </c>
    </row>
    <row r="42" spans="1:7" ht="12.75">
      <c r="A42" s="44">
        <f t="shared" si="1"/>
        <v>43764</v>
      </c>
      <c r="B42" s="35">
        <v>176787324.51</v>
      </c>
      <c r="C42" s="35">
        <v>1260138.79</v>
      </c>
      <c r="D42" s="35">
        <f t="shared" si="2"/>
        <v>164633954.79000002</v>
      </c>
      <c r="E42" s="35">
        <v>10893230.929999966</v>
      </c>
      <c r="F42" s="37">
        <f>35758/7</f>
        <v>5108.285714285715</v>
      </c>
      <c r="G42" s="35">
        <f t="shared" si="3"/>
        <v>304.63758963029153</v>
      </c>
    </row>
    <row r="43" spans="1:7" ht="12.75">
      <c r="A43" s="44">
        <f t="shared" si="1"/>
        <v>43771</v>
      </c>
      <c r="B43" s="35">
        <v>183911680.21</v>
      </c>
      <c r="C43" s="35">
        <v>1248605.65</v>
      </c>
      <c r="D43" s="35">
        <f t="shared" si="2"/>
        <v>171012312.21000004</v>
      </c>
      <c r="E43" s="35">
        <v>11650762.34999998</v>
      </c>
      <c r="F43" s="37">
        <f>36218/7</f>
        <v>5174</v>
      </c>
      <c r="G43" s="35">
        <f t="shared" si="3"/>
        <v>321.68431028770163</v>
      </c>
    </row>
    <row r="44" spans="1:7" ht="12.75">
      <c r="A44" s="44">
        <f t="shared" si="1"/>
        <v>43778</v>
      </c>
      <c r="B44" s="35">
        <v>183084042.64</v>
      </c>
      <c r="C44" s="35">
        <v>1228691.63</v>
      </c>
      <c r="D44" s="35">
        <f t="shared" si="2"/>
        <v>170844874.54999998</v>
      </c>
      <c r="E44" s="35">
        <v>11010476.46</v>
      </c>
      <c r="F44" s="37">
        <f>36218/7</f>
        <v>5174</v>
      </c>
      <c r="G44" s="35">
        <f t="shared" si="3"/>
        <v>304.00564525926336</v>
      </c>
    </row>
    <row r="45" spans="1:7" ht="12.75">
      <c r="A45" s="44">
        <f t="shared" si="1"/>
        <v>43785</v>
      </c>
      <c r="B45" s="35">
        <v>175087176.78</v>
      </c>
      <c r="C45" s="35">
        <v>849634.34</v>
      </c>
      <c r="D45" s="35">
        <f t="shared" si="2"/>
        <v>162650574.81</v>
      </c>
      <c r="E45" s="35">
        <v>11586967.629999986</v>
      </c>
      <c r="F45" s="37">
        <f>36100/7</f>
        <v>5157.142857142857</v>
      </c>
      <c r="G45" s="35">
        <f t="shared" si="3"/>
        <v>320.9686324099719</v>
      </c>
    </row>
    <row r="46" spans="1:7" ht="12.75">
      <c r="A46" s="44">
        <f t="shared" si="1"/>
        <v>43792</v>
      </c>
      <c r="B46" s="35">
        <v>172590984.73000002</v>
      </c>
      <c r="C46" s="35">
        <v>987007.1299999999</v>
      </c>
      <c r="D46" s="35">
        <f t="shared" si="2"/>
        <v>161010675.57999998</v>
      </c>
      <c r="E46" s="35">
        <v>10593302.020000026</v>
      </c>
      <c r="F46" s="37">
        <f>35805/7</f>
        <v>5115</v>
      </c>
      <c r="G46" s="35">
        <f t="shared" si="3"/>
        <v>295.86096969697036</v>
      </c>
    </row>
    <row r="47" spans="1:7" ht="12.75">
      <c r="A47" s="44">
        <f t="shared" si="1"/>
        <v>43799</v>
      </c>
      <c r="B47" s="35">
        <v>190084144.54999998</v>
      </c>
      <c r="C47" s="35">
        <v>1057608.43</v>
      </c>
      <c r="D47" s="35">
        <f t="shared" si="2"/>
        <v>177253632.42</v>
      </c>
      <c r="E47" s="35">
        <v>11772903.699999979</v>
      </c>
      <c r="F47" s="37">
        <f>35805/7</f>
        <v>5115</v>
      </c>
      <c r="G47" s="35">
        <f t="shared" si="3"/>
        <v>328.8061360145225</v>
      </c>
    </row>
    <row r="48" spans="1:7" ht="12.75">
      <c r="A48" s="44">
        <f t="shared" si="1"/>
        <v>43806</v>
      </c>
      <c r="B48" s="35">
        <v>165794270.74</v>
      </c>
      <c r="C48" s="35">
        <v>950389.15</v>
      </c>
      <c r="D48" s="35">
        <f t="shared" si="2"/>
        <v>155182668.41</v>
      </c>
      <c r="E48" s="35">
        <v>9661213.179999998</v>
      </c>
      <c r="F48" s="37">
        <f>35715/7</f>
        <v>5102.142857142857</v>
      </c>
      <c r="G48" s="35">
        <f t="shared" si="3"/>
        <v>270.5085588688226</v>
      </c>
    </row>
    <row r="49" spans="1:7" ht="12.75">
      <c r="A49" s="44">
        <f t="shared" si="1"/>
        <v>43813</v>
      </c>
      <c r="B49" s="35">
        <v>171374056.99</v>
      </c>
      <c r="C49" s="35">
        <v>1146160.98</v>
      </c>
      <c r="D49" s="35">
        <f t="shared" si="2"/>
        <v>159991991.72000003</v>
      </c>
      <c r="E49" s="35">
        <v>10235904.290000005</v>
      </c>
      <c r="F49" s="37">
        <f>35328/7</f>
        <v>5046.857142857143</v>
      </c>
      <c r="G49" s="35">
        <f t="shared" si="3"/>
        <v>289.73913864356894</v>
      </c>
    </row>
    <row r="50" spans="1:7" ht="12.75">
      <c r="A50" s="44">
        <f t="shared" si="1"/>
        <v>43820</v>
      </c>
      <c r="B50" s="35">
        <v>165031714.16</v>
      </c>
      <c r="C50" s="35">
        <v>970977.17</v>
      </c>
      <c r="D50" s="35">
        <f t="shared" si="2"/>
        <v>153820693.72</v>
      </c>
      <c r="E50" s="35">
        <v>10240043.269999998</v>
      </c>
      <c r="F50" s="37">
        <f>34552/7</f>
        <v>4936</v>
      </c>
      <c r="G50" s="35">
        <f t="shared" si="3"/>
        <v>296.36615159759197</v>
      </c>
    </row>
    <row r="51" spans="1:7" ht="12.75">
      <c r="A51" s="44">
        <f t="shared" si="1"/>
        <v>43827</v>
      </c>
      <c r="B51" s="35">
        <v>207799461.26</v>
      </c>
      <c r="C51" s="35">
        <v>1522619.3099999998</v>
      </c>
      <c r="D51" s="35">
        <f t="shared" si="2"/>
        <v>193597459.7</v>
      </c>
      <c r="E51" s="35">
        <v>12679382.249999993</v>
      </c>
      <c r="F51" s="37">
        <f>32697/7</f>
        <v>4671</v>
      </c>
      <c r="G51" s="35">
        <f t="shared" si="3"/>
        <v>387.78426919900886</v>
      </c>
    </row>
    <row r="52" spans="1:7" ht="12.75">
      <c r="A52" s="44">
        <f t="shared" si="1"/>
        <v>43834</v>
      </c>
      <c r="B52" s="35">
        <v>210667985.14000002</v>
      </c>
      <c r="C52" s="35">
        <v>1148889.48</v>
      </c>
      <c r="D52" s="35">
        <f t="shared" si="2"/>
        <v>195807852.89000002</v>
      </c>
      <c r="E52" s="35">
        <v>13711242.770000001</v>
      </c>
      <c r="F52" s="37">
        <f>32697/7</f>
        <v>4671</v>
      </c>
      <c r="G52" s="35">
        <f t="shared" si="3"/>
        <v>419.3425320365783</v>
      </c>
    </row>
    <row r="53" spans="1:7" ht="12.75">
      <c r="A53" s="44">
        <f t="shared" si="1"/>
        <v>43841</v>
      </c>
      <c r="B53" s="35">
        <v>181556582.43</v>
      </c>
      <c r="C53" s="35">
        <v>1180879.2200000002</v>
      </c>
      <c r="D53" s="35">
        <f t="shared" si="2"/>
        <v>169357427.47</v>
      </c>
      <c r="E53" s="35">
        <v>11018275.740000004</v>
      </c>
      <c r="F53" s="37">
        <f>32697/7</f>
        <v>4671</v>
      </c>
      <c r="G53" s="35">
        <f t="shared" si="3"/>
        <v>336.98124415083964</v>
      </c>
    </row>
    <row r="54" spans="1:7" ht="12.75">
      <c r="A54" s="44">
        <f t="shared" si="1"/>
        <v>43848</v>
      </c>
      <c r="B54" s="35">
        <v>165758695.6</v>
      </c>
      <c r="C54" s="35">
        <v>980264.1599999999</v>
      </c>
      <c r="D54" s="35">
        <f t="shared" si="2"/>
        <v>154771042.9</v>
      </c>
      <c r="E54" s="35">
        <v>10007388.540000001</v>
      </c>
      <c r="F54" s="37">
        <f>32663/7</f>
        <v>4666.142857142857</v>
      </c>
      <c r="G54" s="35">
        <f t="shared" si="3"/>
        <v>306.38301870618136</v>
      </c>
    </row>
    <row r="55" spans="1:7" ht="12.75">
      <c r="A55" s="44">
        <f t="shared" si="1"/>
        <v>43855</v>
      </c>
      <c r="B55" s="35">
        <v>187029353.09000003</v>
      </c>
      <c r="C55" s="35">
        <v>1251658.4600000002</v>
      </c>
      <c r="D55" s="35">
        <f t="shared" si="2"/>
        <v>174159899.96999997</v>
      </c>
      <c r="E55" s="35">
        <v>11617794.660000047</v>
      </c>
      <c r="F55" s="37">
        <f>32697/7</f>
        <v>4671</v>
      </c>
      <c r="G55" s="35">
        <f t="shared" si="3"/>
        <v>355.316838242042</v>
      </c>
    </row>
    <row r="56" spans="1:7" ht="12.75">
      <c r="A56" s="44">
        <f t="shared" si="1"/>
        <v>43862</v>
      </c>
      <c r="B56" s="35">
        <v>187770322.96</v>
      </c>
      <c r="C56" s="35">
        <v>1218565.1</v>
      </c>
      <c r="D56" s="35">
        <f t="shared" si="2"/>
        <v>174994496.82000002</v>
      </c>
      <c r="E56" s="35">
        <v>11557261.04</v>
      </c>
      <c r="F56" s="37">
        <f>32733/7</f>
        <v>4676.142857142857</v>
      </c>
      <c r="G56" s="35">
        <f t="shared" si="3"/>
        <v>353.0767433476919</v>
      </c>
    </row>
    <row r="57" spans="1:7" ht="12.75">
      <c r="A57" s="44">
        <f t="shared" si="1"/>
        <v>43869</v>
      </c>
      <c r="B57" s="35">
        <v>191575143.87999997</v>
      </c>
      <c r="C57" s="35">
        <v>1237189.3499999999</v>
      </c>
      <c r="D57" s="35">
        <f t="shared" si="2"/>
        <v>178223187.04999998</v>
      </c>
      <c r="E57" s="35">
        <v>12114767.479999982</v>
      </c>
      <c r="F57" s="37">
        <f>32781/7</f>
        <v>4683</v>
      </c>
      <c r="G57" s="35">
        <f t="shared" si="3"/>
        <v>369.56674537079346</v>
      </c>
    </row>
    <row r="58" spans="1:7" ht="12.75">
      <c r="A58" s="44">
        <f t="shared" si="1"/>
        <v>43876</v>
      </c>
      <c r="B58" s="35">
        <v>195373571.15</v>
      </c>
      <c r="C58" s="35">
        <v>1345016.59</v>
      </c>
      <c r="D58" s="35">
        <f t="shared" si="2"/>
        <v>182585691.82999998</v>
      </c>
      <c r="E58" s="35">
        <v>11442862.730000025</v>
      </c>
      <c r="F58" s="37">
        <f>32781/7</f>
        <v>4683</v>
      </c>
      <c r="G58" s="35">
        <f t="shared" si="3"/>
        <v>349.06997132485355</v>
      </c>
    </row>
    <row r="59" spans="1:7" ht="12.75">
      <c r="A59" s="44">
        <f t="shared" si="1"/>
        <v>43883</v>
      </c>
      <c r="B59" s="35">
        <v>206437611.45</v>
      </c>
      <c r="C59" s="35">
        <v>1503658.3399999999</v>
      </c>
      <c r="D59" s="35">
        <f t="shared" si="2"/>
        <v>192065032.26999998</v>
      </c>
      <c r="E59" s="35">
        <v>12868920.840000013</v>
      </c>
      <c r="F59" s="37">
        <f>32763/7</f>
        <v>4680.428571428572</v>
      </c>
      <c r="G59" s="35">
        <f t="shared" si="3"/>
        <v>392.7882318469009</v>
      </c>
    </row>
    <row r="60" spans="1:7" ht="12.75">
      <c r="A60" s="44">
        <f t="shared" si="1"/>
        <v>43890</v>
      </c>
      <c r="B60" s="35">
        <v>211097683.53</v>
      </c>
      <c r="C60" s="35">
        <v>1334430.74</v>
      </c>
      <c r="D60" s="35">
        <f t="shared" si="2"/>
        <v>196921250.51999998</v>
      </c>
      <c r="E60" s="35">
        <v>12842002.270000016</v>
      </c>
      <c r="F60" s="37">
        <f>32821/7</f>
        <v>4688.714285714285</v>
      </c>
      <c r="G60" s="35">
        <f t="shared" si="3"/>
        <v>391.27394869138715</v>
      </c>
    </row>
    <row r="61" spans="1:7" ht="12.75">
      <c r="A61" s="44">
        <f t="shared" si="1"/>
        <v>43897</v>
      </c>
      <c r="B61" s="35">
        <v>206372205.5</v>
      </c>
      <c r="C61" s="35">
        <v>1414569.71</v>
      </c>
      <c r="D61" s="35">
        <f t="shared" si="2"/>
        <v>192811104.81</v>
      </c>
      <c r="E61" s="35">
        <v>12146530.97999999</v>
      </c>
      <c r="F61" s="37">
        <f>32991/7</f>
        <v>4713</v>
      </c>
      <c r="G61" s="35">
        <f t="shared" si="3"/>
        <v>368.17710830226395</v>
      </c>
    </row>
    <row r="62" spans="1:7" ht="12.75">
      <c r="A62" s="44">
        <f t="shared" si="1"/>
        <v>43904</v>
      </c>
      <c r="B62" s="35">
        <v>112451439.21000001</v>
      </c>
      <c r="C62" s="35">
        <v>947548.6900000001</v>
      </c>
      <c r="D62" s="35">
        <f t="shared" si="2"/>
        <v>104837361.44</v>
      </c>
      <c r="E62" s="35">
        <v>6666529.080000009</v>
      </c>
      <c r="F62" s="37">
        <f>32991/7</f>
        <v>4713</v>
      </c>
      <c r="G62" s="35">
        <f t="shared" si="3"/>
        <v>202.0711430390109</v>
      </c>
    </row>
    <row r="63" spans="1:7" ht="12.75">
      <c r="A63" s="44">
        <f t="shared" si="1"/>
        <v>43911</v>
      </c>
      <c r="B63" s="35">
        <v>0</v>
      </c>
      <c r="C63" s="35">
        <v>0</v>
      </c>
      <c r="D63" s="35">
        <f t="shared" si="2"/>
        <v>0</v>
      </c>
      <c r="E63" s="35">
        <v>0</v>
      </c>
      <c r="F63" s="37">
        <v>0</v>
      </c>
      <c r="G63" s="35">
        <v>0</v>
      </c>
    </row>
    <row r="64" ht="12.75">
      <c r="A64" s="44"/>
    </row>
    <row r="65" spans="1:7" ht="13.5" thickBot="1">
      <c r="A65" s="38" t="s">
        <v>8</v>
      </c>
      <c r="B65" s="42">
        <f>SUM(B12:B63)</f>
        <v>9505893056.36</v>
      </c>
      <c r="C65" s="42">
        <f>SUM(C12:C63)</f>
        <v>62276573</v>
      </c>
      <c r="D65" s="42">
        <f>SUM(D12:D63)</f>
        <v>8851941366.980001</v>
      </c>
      <c r="E65" s="42">
        <f>SUM(E12:E63)</f>
        <v>591675116.3800001</v>
      </c>
      <c r="F65" s="43">
        <f>_xlfn.IFERROR(SUM(F12:F63)/COUNT(F12:F63)," ")</f>
        <v>4962.9945054945065</v>
      </c>
      <c r="G65" s="42">
        <f>_xlfn.IFERROR(E65/SUM(F12:F63)/7," ")</f>
        <v>327.5202273862045</v>
      </c>
    </row>
    <row r="66" spans="1:5" s="39" customFormat="1" ht="13.5" thickTop="1">
      <c r="A66" s="41"/>
      <c r="B66" s="40"/>
      <c r="C66" s="40"/>
      <c r="D66" s="40"/>
      <c r="E66" s="4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8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">
      <pane ySplit="10" topLeftCell="A41" activePane="bottomLeft" state="frozen"/>
      <selection pane="topLeft" activeCell="A1" sqref="A1"/>
      <selection pane="bottomLeft" activeCell="A67" sqref="A67"/>
    </sheetView>
  </sheetViews>
  <sheetFormatPr defaultColWidth="9.140625" defaultRowHeight="12.75"/>
  <cols>
    <col min="1" max="1" width="16.00390625" style="38" customWidth="1"/>
    <col min="2" max="5" width="16.00390625" style="35" customWidth="1"/>
    <col min="6" max="6" width="16.00390625" style="37" customWidth="1"/>
    <col min="7" max="7" width="16.00390625" style="35" customWidth="1"/>
    <col min="8" max="16384" width="9.140625" style="36" customWidth="1"/>
  </cols>
  <sheetData>
    <row r="1" spans="1:8" ht="18">
      <c r="A1" s="63" t="s">
        <v>15</v>
      </c>
      <c r="B1" s="63"/>
      <c r="C1" s="63"/>
      <c r="D1" s="63"/>
      <c r="E1" s="63"/>
      <c r="F1" s="63"/>
      <c r="G1" s="63"/>
      <c r="H1" s="60"/>
    </row>
    <row r="2" spans="1:8" ht="15">
      <c r="A2" s="64" t="s">
        <v>16</v>
      </c>
      <c r="B2" s="64"/>
      <c r="C2" s="64"/>
      <c r="D2" s="64"/>
      <c r="E2" s="64"/>
      <c r="F2" s="64"/>
      <c r="G2" s="64"/>
      <c r="H2" s="59"/>
    </row>
    <row r="3" spans="1:8" s="52" customFormat="1" ht="15">
      <c r="A3" s="64" t="s">
        <v>17</v>
      </c>
      <c r="B3" s="64"/>
      <c r="C3" s="64"/>
      <c r="D3" s="64"/>
      <c r="E3" s="64"/>
      <c r="F3" s="64"/>
      <c r="G3" s="64"/>
      <c r="H3" s="59"/>
    </row>
    <row r="4" spans="1:8" s="52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52" customFormat="1" ht="14.25">
      <c r="A5" s="66" t="s">
        <v>19</v>
      </c>
      <c r="B5" s="66"/>
      <c r="C5" s="66"/>
      <c r="D5" s="66"/>
      <c r="E5" s="66"/>
      <c r="F5" s="66"/>
      <c r="G5" s="66"/>
      <c r="H5" s="58"/>
    </row>
    <row r="6" spans="1:8" s="52" customFormat="1" ht="14.25">
      <c r="A6" s="57"/>
      <c r="B6" s="57"/>
      <c r="C6" s="57"/>
      <c r="D6" s="57"/>
      <c r="E6" s="57"/>
      <c r="F6" s="57"/>
      <c r="G6" s="57"/>
      <c r="H6" s="57"/>
    </row>
    <row r="7" spans="1:7" s="56" customFormat="1" ht="14.25" customHeight="1">
      <c r="A7" s="67" t="s">
        <v>30</v>
      </c>
      <c r="B7" s="68"/>
      <c r="C7" s="68"/>
      <c r="D7" s="68"/>
      <c r="E7" s="68"/>
      <c r="F7" s="68"/>
      <c r="G7" s="69"/>
    </row>
    <row r="8" spans="1:7" s="52" customFormat="1" ht="9" customHeight="1">
      <c r="A8" s="38"/>
      <c r="B8" s="55"/>
      <c r="C8" s="55"/>
      <c r="D8" s="55"/>
      <c r="E8" s="53"/>
      <c r="F8" s="54"/>
      <c r="G8" s="53"/>
    </row>
    <row r="9" spans="1:7" s="45" customFormat="1" ht="12">
      <c r="A9" s="51"/>
      <c r="B9" s="49" t="s">
        <v>0</v>
      </c>
      <c r="C9" s="49" t="s">
        <v>21</v>
      </c>
      <c r="D9" s="49" t="s">
        <v>0</v>
      </c>
      <c r="E9" s="49"/>
      <c r="F9" s="50" t="s">
        <v>1</v>
      </c>
      <c r="G9" s="49" t="s">
        <v>2</v>
      </c>
    </row>
    <row r="10" spans="1:7" s="45" customFormat="1" ht="12">
      <c r="A10" s="48" t="s">
        <v>11</v>
      </c>
      <c r="B10" s="46" t="s">
        <v>3</v>
      </c>
      <c r="C10" s="46" t="s">
        <v>24</v>
      </c>
      <c r="D10" s="46" t="s">
        <v>4</v>
      </c>
      <c r="E10" s="46" t="s">
        <v>5</v>
      </c>
      <c r="F10" s="47" t="s">
        <v>6</v>
      </c>
      <c r="G10" s="46" t="s">
        <v>7</v>
      </c>
    </row>
    <row r="12" spans="1:7" ht="12.75">
      <c r="A12" s="22">
        <v>43190</v>
      </c>
      <c r="B12" s="35">
        <v>206096960</v>
      </c>
      <c r="C12" s="35">
        <v>1712548</v>
      </c>
      <c r="D12" s="35">
        <f>IF(ISBLANK(B12),"",B12-C12-E12)</f>
        <v>191737504</v>
      </c>
      <c r="E12" s="35">
        <v>12646908</v>
      </c>
      <c r="F12" s="37">
        <v>5222</v>
      </c>
      <c r="G12" s="35">
        <v>346</v>
      </c>
    </row>
    <row r="13" spans="1:7" ht="12.75">
      <c r="A13" s="44">
        <f aca="true" t="shared" si="0" ref="A13:A44">+A12+7</f>
        <v>43197</v>
      </c>
      <c r="B13" s="35">
        <v>212855325</v>
      </c>
      <c r="C13" s="35">
        <f>1747959-11195</f>
        <v>1736764</v>
      </c>
      <c r="D13" s="35">
        <f aca="true" t="shared" si="1" ref="D13:D63">IF(ISBLANK(B13),"",B13-C13-E13)</f>
        <v>197832527</v>
      </c>
      <c r="E13" s="35">
        <v>13286034</v>
      </c>
      <c r="F13" s="37">
        <f aca="true" t="shared" si="2" ref="F13:F18">36554/7</f>
        <v>5222</v>
      </c>
      <c r="G13" s="35">
        <v>363</v>
      </c>
    </row>
    <row r="14" spans="1:7" ht="12.75">
      <c r="A14" s="44">
        <f t="shared" si="0"/>
        <v>43204</v>
      </c>
      <c r="B14" s="35">
        <v>197445478</v>
      </c>
      <c r="C14" s="35">
        <v>1524940</v>
      </c>
      <c r="D14" s="35">
        <f t="shared" si="1"/>
        <v>183480413</v>
      </c>
      <c r="E14" s="35">
        <v>12440125</v>
      </c>
      <c r="F14" s="37">
        <f t="shared" si="2"/>
        <v>5222</v>
      </c>
      <c r="G14" s="35">
        <f>_xlfn.IFERROR((E14/F14/7),"")</f>
        <v>340.32185260163044</v>
      </c>
    </row>
    <row r="15" spans="1:7" ht="12.75">
      <c r="A15" s="44">
        <f t="shared" si="0"/>
        <v>43211</v>
      </c>
      <c r="B15" s="35">
        <v>195488106</v>
      </c>
      <c r="C15" s="35">
        <v>1627706</v>
      </c>
      <c r="D15" s="35">
        <f t="shared" si="1"/>
        <v>181596682</v>
      </c>
      <c r="E15" s="35">
        <v>12263718</v>
      </c>
      <c r="F15" s="37">
        <f t="shared" si="2"/>
        <v>5222</v>
      </c>
      <c r="G15" s="35">
        <f aca="true" t="shared" si="3" ref="G15:G37">_xlfn.IFERROR((E15/F15/7),"")</f>
        <v>335.4959238387044</v>
      </c>
    </row>
    <row r="16" spans="1:7" ht="12.75">
      <c r="A16" s="44">
        <f t="shared" si="0"/>
        <v>43218</v>
      </c>
      <c r="B16" s="35">
        <v>199978179</v>
      </c>
      <c r="C16" s="35">
        <v>1571644</v>
      </c>
      <c r="D16" s="35">
        <f t="shared" si="1"/>
        <v>186056662</v>
      </c>
      <c r="E16" s="35">
        <v>12349873</v>
      </c>
      <c r="F16" s="37">
        <f t="shared" si="2"/>
        <v>5222</v>
      </c>
      <c r="G16" s="35">
        <f t="shared" si="3"/>
        <v>337.85284784154953</v>
      </c>
    </row>
    <row r="17" spans="1:7" ht="12.75">
      <c r="A17" s="44">
        <f t="shared" si="0"/>
        <v>43225</v>
      </c>
      <c r="B17" s="35">
        <v>207484406</v>
      </c>
      <c r="C17" s="35">
        <f>1915477-12165</f>
        <v>1903312</v>
      </c>
      <c r="D17" s="35">
        <f t="shared" si="1"/>
        <v>193341772</v>
      </c>
      <c r="E17" s="35">
        <v>12239322</v>
      </c>
      <c r="F17" s="37">
        <f t="shared" si="2"/>
        <v>5222</v>
      </c>
      <c r="G17" s="35">
        <f t="shared" si="3"/>
        <v>334.82852765771185</v>
      </c>
    </row>
    <row r="18" spans="1:7" ht="12.75">
      <c r="A18" s="44">
        <f t="shared" si="0"/>
        <v>43232</v>
      </c>
      <c r="B18" s="35">
        <v>194703509</v>
      </c>
      <c r="C18" s="35">
        <v>1520066</v>
      </c>
      <c r="D18" s="35">
        <f t="shared" si="1"/>
        <v>181462357</v>
      </c>
      <c r="E18" s="35">
        <v>11721086</v>
      </c>
      <c r="F18" s="37">
        <f t="shared" si="2"/>
        <v>5222</v>
      </c>
      <c r="G18" s="35">
        <f t="shared" si="3"/>
        <v>320.65125567653337</v>
      </c>
    </row>
    <row r="19" spans="1:7" ht="12.75">
      <c r="A19" s="44">
        <f t="shared" si="0"/>
        <v>43239</v>
      </c>
      <c r="B19" s="35">
        <v>196199813</v>
      </c>
      <c r="C19" s="35">
        <v>1539316</v>
      </c>
      <c r="D19" s="35">
        <f t="shared" si="1"/>
        <v>182843007</v>
      </c>
      <c r="E19" s="35">
        <v>11817490</v>
      </c>
      <c r="F19" s="37">
        <f>36554/7</f>
        <v>5222</v>
      </c>
      <c r="G19" s="35">
        <f t="shared" si="3"/>
        <v>323.288559391585</v>
      </c>
    </row>
    <row r="20" spans="1:7" ht="12.75">
      <c r="A20" s="44">
        <f t="shared" si="0"/>
        <v>43246</v>
      </c>
      <c r="B20" s="35">
        <v>188505091</v>
      </c>
      <c r="C20" s="35">
        <v>1705771</v>
      </c>
      <c r="D20" s="35">
        <f t="shared" si="1"/>
        <v>175359899</v>
      </c>
      <c r="E20" s="35">
        <v>11439421</v>
      </c>
      <c r="F20" s="37">
        <f>36554/7</f>
        <v>5222</v>
      </c>
      <c r="G20" s="35">
        <f t="shared" si="3"/>
        <v>312.94580620451933</v>
      </c>
    </row>
    <row r="21" spans="1:7" ht="12.75">
      <c r="A21" s="44">
        <f t="shared" si="0"/>
        <v>43253</v>
      </c>
      <c r="B21" s="35">
        <v>208416389</v>
      </c>
      <c r="C21" s="35">
        <v>1588571</v>
      </c>
      <c r="D21" s="35">
        <f t="shared" si="1"/>
        <v>193678611</v>
      </c>
      <c r="E21" s="35">
        <v>13149207</v>
      </c>
      <c r="F21" s="37">
        <f>36554/7</f>
        <v>5222</v>
      </c>
      <c r="G21" s="35">
        <f t="shared" si="3"/>
        <v>359.7200579963889</v>
      </c>
    </row>
    <row r="22" spans="1:7" ht="12.75">
      <c r="A22" s="44">
        <f t="shared" si="0"/>
        <v>43260</v>
      </c>
      <c r="B22" s="35">
        <v>195238209</v>
      </c>
      <c r="C22" s="35">
        <f>1786831-10697</f>
        <v>1776134</v>
      </c>
      <c r="D22" s="35">
        <f t="shared" si="1"/>
        <v>181297382</v>
      </c>
      <c r="E22" s="35">
        <v>12164693</v>
      </c>
      <c r="F22" s="37">
        <f>36554/7</f>
        <v>5222</v>
      </c>
      <c r="G22" s="35">
        <f t="shared" si="3"/>
        <v>332.78691798435193</v>
      </c>
    </row>
    <row r="23" spans="1:7" ht="12.75">
      <c r="A23" s="44">
        <f t="shared" si="0"/>
        <v>43267</v>
      </c>
      <c r="B23" s="35">
        <v>189238489</v>
      </c>
      <c r="C23" s="35">
        <v>1774874</v>
      </c>
      <c r="D23" s="35">
        <f t="shared" si="1"/>
        <v>175929527</v>
      </c>
      <c r="E23" s="35">
        <v>11534088</v>
      </c>
      <c r="F23" s="37">
        <f>36506/7</f>
        <v>5215.142857142857</v>
      </c>
      <c r="G23" s="35">
        <f t="shared" si="3"/>
        <v>315.9504738947022</v>
      </c>
    </row>
    <row r="24" spans="1:7" ht="12.75">
      <c r="A24" s="44">
        <f t="shared" si="0"/>
        <v>43274</v>
      </c>
      <c r="B24" s="35">
        <v>191148502</v>
      </c>
      <c r="C24" s="35">
        <v>1837130</v>
      </c>
      <c r="D24" s="35">
        <f t="shared" si="1"/>
        <v>178136854</v>
      </c>
      <c r="E24" s="35">
        <v>11174518</v>
      </c>
      <c r="F24" s="37">
        <f aca="true" t="shared" si="4" ref="F24:F29">36554/7</f>
        <v>5222</v>
      </c>
      <c r="G24" s="35">
        <f t="shared" si="3"/>
        <v>305.6989111998687</v>
      </c>
    </row>
    <row r="25" spans="1:7" ht="12.75">
      <c r="A25" s="44">
        <f t="shared" si="0"/>
        <v>43281</v>
      </c>
      <c r="B25" s="35">
        <v>191898172</v>
      </c>
      <c r="C25" s="35">
        <v>1964137</v>
      </c>
      <c r="D25" s="35">
        <f t="shared" si="1"/>
        <v>178524408</v>
      </c>
      <c r="E25" s="35">
        <v>11409627</v>
      </c>
      <c r="F25" s="37">
        <f t="shared" si="4"/>
        <v>5222</v>
      </c>
      <c r="G25" s="35">
        <f t="shared" si="3"/>
        <v>312.13073808611915</v>
      </c>
    </row>
    <row r="26" spans="1:7" ht="12.75">
      <c r="A26" s="44">
        <f t="shared" si="0"/>
        <v>43288</v>
      </c>
      <c r="B26" s="35">
        <v>204747667</v>
      </c>
      <c r="C26" s="35">
        <v>1694578</v>
      </c>
      <c r="D26" s="35">
        <f t="shared" si="1"/>
        <v>190534713</v>
      </c>
      <c r="E26" s="35">
        <v>12518376</v>
      </c>
      <c r="F26" s="37">
        <f t="shared" si="4"/>
        <v>5222</v>
      </c>
      <c r="G26" s="35">
        <f t="shared" si="3"/>
        <v>342.4625485582973</v>
      </c>
    </row>
    <row r="27" spans="1:7" ht="12.75">
      <c r="A27" s="44">
        <f t="shared" si="0"/>
        <v>43295</v>
      </c>
      <c r="B27" s="35">
        <v>181255479</v>
      </c>
      <c r="C27" s="35">
        <f>1673014-14015</f>
        <v>1658999</v>
      </c>
      <c r="D27" s="35">
        <f t="shared" si="1"/>
        <v>168184646</v>
      </c>
      <c r="E27" s="35">
        <v>11411834</v>
      </c>
      <c r="F27" s="37">
        <f t="shared" si="4"/>
        <v>5222</v>
      </c>
      <c r="G27" s="35">
        <f t="shared" si="3"/>
        <v>312.1911145155113</v>
      </c>
    </row>
    <row r="28" spans="1:7" ht="12.75">
      <c r="A28" s="44">
        <f t="shared" si="0"/>
        <v>43302</v>
      </c>
      <c r="B28" s="35">
        <v>183438114</v>
      </c>
      <c r="C28" s="35">
        <v>1757328</v>
      </c>
      <c r="D28" s="35">
        <f t="shared" si="1"/>
        <v>170729354</v>
      </c>
      <c r="E28" s="35">
        <v>10951432</v>
      </c>
      <c r="F28" s="37">
        <f t="shared" si="4"/>
        <v>5222</v>
      </c>
      <c r="G28" s="35">
        <f t="shared" si="3"/>
        <v>299.59599496635116</v>
      </c>
    </row>
    <row r="29" spans="1:7" ht="12.75">
      <c r="A29" s="44">
        <f t="shared" si="0"/>
        <v>43309</v>
      </c>
      <c r="B29" s="35">
        <v>186260957</v>
      </c>
      <c r="C29" s="35">
        <f>1805030-11360</f>
        <v>1793670</v>
      </c>
      <c r="D29" s="35">
        <f t="shared" si="1"/>
        <v>173511929</v>
      </c>
      <c r="E29" s="35">
        <v>10955358</v>
      </c>
      <c r="F29" s="37">
        <f t="shared" si="4"/>
        <v>5222</v>
      </c>
      <c r="G29" s="35">
        <f t="shared" si="3"/>
        <v>299.7033977129726</v>
      </c>
    </row>
    <row r="30" spans="1:7" ht="12.75">
      <c r="A30" s="44">
        <f t="shared" si="0"/>
        <v>43316</v>
      </c>
      <c r="B30" s="35">
        <v>202056338</v>
      </c>
      <c r="C30" s="35">
        <v>1666219</v>
      </c>
      <c r="D30" s="35">
        <f t="shared" si="1"/>
        <v>187965690</v>
      </c>
      <c r="E30" s="35">
        <v>12424429</v>
      </c>
      <c r="F30" s="37">
        <f>36506/7</f>
        <v>5215.142857142857</v>
      </c>
      <c r="G30" s="35">
        <f t="shared" si="3"/>
        <v>340.33936887087054</v>
      </c>
    </row>
    <row r="31" spans="1:7" ht="12.75">
      <c r="A31" s="44">
        <f t="shared" si="0"/>
        <v>43323</v>
      </c>
      <c r="B31" s="35">
        <v>187513818</v>
      </c>
      <c r="C31" s="35">
        <v>1440571</v>
      </c>
      <c r="D31" s="35">
        <f t="shared" si="1"/>
        <v>174571844</v>
      </c>
      <c r="E31" s="35">
        <v>11501403</v>
      </c>
      <c r="F31" s="37">
        <f aca="true" t="shared" si="5" ref="F31:F36">36554/7</f>
        <v>5222</v>
      </c>
      <c r="G31" s="35">
        <f t="shared" si="3"/>
        <v>314.64143458992174</v>
      </c>
    </row>
    <row r="32" spans="1:7" ht="12.75">
      <c r="A32" s="44">
        <f t="shared" si="0"/>
        <v>43330</v>
      </c>
      <c r="B32" s="35">
        <v>189130461</v>
      </c>
      <c r="C32" s="35">
        <v>1649064</v>
      </c>
      <c r="D32" s="35">
        <f t="shared" si="1"/>
        <v>175929562</v>
      </c>
      <c r="E32" s="35">
        <v>11551835</v>
      </c>
      <c r="F32" s="37">
        <f t="shared" si="5"/>
        <v>5222</v>
      </c>
      <c r="G32" s="35">
        <f t="shared" si="3"/>
        <v>316.0210920829458</v>
      </c>
    </row>
    <row r="33" spans="1:7" ht="12.75">
      <c r="A33" s="44">
        <f t="shared" si="0"/>
        <v>43337</v>
      </c>
      <c r="B33" s="35">
        <v>189011782</v>
      </c>
      <c r="C33" s="35">
        <v>1717502</v>
      </c>
      <c r="D33" s="35">
        <f t="shared" si="1"/>
        <v>176221978</v>
      </c>
      <c r="E33" s="35">
        <v>11072302</v>
      </c>
      <c r="F33" s="37">
        <f t="shared" si="5"/>
        <v>5222</v>
      </c>
      <c r="G33" s="35">
        <f t="shared" si="3"/>
        <v>302.9026098375007</v>
      </c>
    </row>
    <row r="34" spans="1:7" ht="12.75">
      <c r="A34" s="44">
        <f t="shared" si="0"/>
        <v>43344</v>
      </c>
      <c r="B34" s="35">
        <v>191094138</v>
      </c>
      <c r="C34" s="35">
        <v>1808923</v>
      </c>
      <c r="D34" s="35">
        <f t="shared" si="1"/>
        <v>177845315</v>
      </c>
      <c r="E34" s="35">
        <v>11439900</v>
      </c>
      <c r="F34" s="37">
        <f t="shared" si="5"/>
        <v>5222</v>
      </c>
      <c r="G34" s="35">
        <f t="shared" si="3"/>
        <v>312.95891010559717</v>
      </c>
    </row>
    <row r="35" spans="1:7" ht="12.75">
      <c r="A35" s="44">
        <f t="shared" si="0"/>
        <v>43351</v>
      </c>
      <c r="B35" s="35">
        <v>208576208</v>
      </c>
      <c r="C35" s="35">
        <f>2069703-11055</f>
        <v>2058648</v>
      </c>
      <c r="D35" s="35">
        <f t="shared" si="1"/>
        <v>194000631</v>
      </c>
      <c r="E35" s="35">
        <v>12516929</v>
      </c>
      <c r="F35" s="37">
        <f t="shared" si="5"/>
        <v>5222</v>
      </c>
      <c r="G35" s="35">
        <f t="shared" si="3"/>
        <v>342.4229632871916</v>
      </c>
    </row>
    <row r="36" spans="1:7" ht="12.75">
      <c r="A36" s="44">
        <f t="shared" si="0"/>
        <v>43358</v>
      </c>
      <c r="B36" s="35">
        <v>185480331</v>
      </c>
      <c r="C36" s="35">
        <v>1825064</v>
      </c>
      <c r="D36" s="35">
        <f t="shared" si="1"/>
        <v>172702826</v>
      </c>
      <c r="E36" s="35">
        <v>10952441</v>
      </c>
      <c r="F36" s="37">
        <f t="shared" si="5"/>
        <v>5222</v>
      </c>
      <c r="G36" s="35">
        <f t="shared" si="3"/>
        <v>299.623597964655</v>
      </c>
    </row>
    <row r="37" spans="1:7" ht="12.75">
      <c r="A37" s="44">
        <f t="shared" si="0"/>
        <v>43365</v>
      </c>
      <c r="B37" s="35">
        <v>186610234</v>
      </c>
      <c r="C37" s="35">
        <v>2060703</v>
      </c>
      <c r="D37" s="35">
        <f t="shared" si="1"/>
        <v>174038394</v>
      </c>
      <c r="E37" s="35">
        <v>10511137</v>
      </c>
      <c r="F37" s="37">
        <f aca="true" t="shared" si="6" ref="F37:F42">36554/7</f>
        <v>5222</v>
      </c>
      <c r="G37" s="35">
        <f t="shared" si="3"/>
        <v>287.5509383378016</v>
      </c>
    </row>
    <row r="38" spans="1:7" ht="12.75">
      <c r="A38" s="44">
        <f t="shared" si="0"/>
        <v>43372</v>
      </c>
      <c r="B38" s="35">
        <v>189652410.48000002</v>
      </c>
      <c r="C38" s="35">
        <v>2489134.06</v>
      </c>
      <c r="D38" s="35">
        <f t="shared" si="1"/>
        <v>176611770.69000003</v>
      </c>
      <c r="E38" s="35">
        <v>10551505.730000002</v>
      </c>
      <c r="F38" s="37">
        <f t="shared" si="6"/>
        <v>5222</v>
      </c>
      <c r="G38" s="35">
        <f aca="true" t="shared" si="7" ref="G38:G63">_xlfn.IFERROR((E38/F38/7),"")</f>
        <v>288.6552970947093</v>
      </c>
    </row>
    <row r="39" spans="1:7" ht="12.75">
      <c r="A39" s="44">
        <f t="shared" si="0"/>
        <v>43379</v>
      </c>
      <c r="B39" s="35">
        <v>189111867</v>
      </c>
      <c r="C39" s="35">
        <v>1644476</v>
      </c>
      <c r="D39" s="35">
        <f t="shared" si="1"/>
        <v>176360571</v>
      </c>
      <c r="E39" s="35">
        <v>11106820</v>
      </c>
      <c r="F39" s="37">
        <f t="shared" si="6"/>
        <v>5222</v>
      </c>
      <c r="G39" s="35">
        <f t="shared" si="7"/>
        <v>303.846911418723</v>
      </c>
    </row>
    <row r="40" spans="1:7" ht="12.75">
      <c r="A40" s="44">
        <f t="shared" si="0"/>
        <v>43386</v>
      </c>
      <c r="B40" s="35">
        <v>198335938</v>
      </c>
      <c r="C40" s="35">
        <f>1974113-11304</f>
        <v>1962809</v>
      </c>
      <c r="D40" s="35">
        <f t="shared" si="1"/>
        <v>185247332</v>
      </c>
      <c r="E40" s="35">
        <v>11125797</v>
      </c>
      <c r="F40" s="37">
        <f t="shared" si="6"/>
        <v>5222</v>
      </c>
      <c r="G40" s="35">
        <f t="shared" si="7"/>
        <v>304.3660611697762</v>
      </c>
    </row>
    <row r="41" spans="1:7" ht="12.75">
      <c r="A41" s="44">
        <f t="shared" si="0"/>
        <v>43393</v>
      </c>
      <c r="B41" s="35">
        <v>181899376</v>
      </c>
      <c r="C41" s="35">
        <v>1580027</v>
      </c>
      <c r="D41" s="35">
        <f t="shared" si="1"/>
        <v>169897502</v>
      </c>
      <c r="E41" s="35">
        <v>10421847</v>
      </c>
      <c r="F41" s="37">
        <f t="shared" si="6"/>
        <v>5222</v>
      </c>
      <c r="G41" s="35">
        <f t="shared" si="7"/>
        <v>285.10825080702523</v>
      </c>
    </row>
    <row r="42" spans="1:7" ht="12.75">
      <c r="A42" s="44">
        <f t="shared" si="0"/>
        <v>43400</v>
      </c>
      <c r="B42" s="35">
        <v>176673384</v>
      </c>
      <c r="C42" s="35">
        <v>1532551</v>
      </c>
      <c r="D42" s="35">
        <f t="shared" si="1"/>
        <v>164605609</v>
      </c>
      <c r="E42" s="35">
        <v>10535224</v>
      </c>
      <c r="F42" s="37">
        <f t="shared" si="6"/>
        <v>5222</v>
      </c>
      <c r="G42" s="35">
        <f t="shared" si="7"/>
        <v>288.20988127154345</v>
      </c>
    </row>
    <row r="43" spans="1:7" ht="12.75">
      <c r="A43" s="44">
        <f t="shared" si="0"/>
        <v>43407</v>
      </c>
      <c r="B43" s="35">
        <v>199807823</v>
      </c>
      <c r="C43" s="35">
        <v>1739104</v>
      </c>
      <c r="D43" s="35">
        <f t="shared" si="1"/>
        <v>185852330</v>
      </c>
      <c r="E43" s="35">
        <v>12216389</v>
      </c>
      <c r="F43" s="37">
        <f aca="true" t="shared" si="8" ref="F43:F48">36554/7</f>
        <v>5222</v>
      </c>
      <c r="G43" s="35">
        <f t="shared" si="7"/>
        <v>334.2011544564206</v>
      </c>
    </row>
    <row r="44" spans="1:7" ht="12.75">
      <c r="A44" s="44">
        <f t="shared" si="0"/>
        <v>43414</v>
      </c>
      <c r="B44" s="35">
        <v>181885304</v>
      </c>
      <c r="C44" s="35">
        <f>1472695-18274</f>
        <v>1454421</v>
      </c>
      <c r="D44" s="35">
        <f t="shared" si="1"/>
        <v>169653333</v>
      </c>
      <c r="E44" s="35">
        <v>10777550</v>
      </c>
      <c r="F44" s="37">
        <f t="shared" si="8"/>
        <v>5222</v>
      </c>
      <c r="G44" s="35">
        <f t="shared" si="7"/>
        <v>294.83914209115284</v>
      </c>
    </row>
    <row r="45" spans="1:7" ht="12.75">
      <c r="A45" s="44">
        <f aca="true" t="shared" si="9" ref="A45:A63">+A44+7</f>
        <v>43421</v>
      </c>
      <c r="B45" s="35">
        <v>170468909</v>
      </c>
      <c r="C45" s="35">
        <v>1463953</v>
      </c>
      <c r="D45" s="35">
        <f t="shared" si="1"/>
        <v>158879013</v>
      </c>
      <c r="E45" s="35">
        <v>10125943</v>
      </c>
      <c r="F45" s="37">
        <f t="shared" si="8"/>
        <v>5222</v>
      </c>
      <c r="G45" s="35">
        <f t="shared" si="7"/>
        <v>277.01326804180115</v>
      </c>
    </row>
    <row r="46" spans="1:7" ht="12.75">
      <c r="A46" s="44">
        <f t="shared" si="9"/>
        <v>43428</v>
      </c>
      <c r="B46" s="35">
        <v>181519296</v>
      </c>
      <c r="C46" s="35">
        <v>1749520</v>
      </c>
      <c r="D46" s="35">
        <f t="shared" si="1"/>
        <v>169295192</v>
      </c>
      <c r="E46" s="35">
        <v>10474584</v>
      </c>
      <c r="F46" s="37">
        <f t="shared" si="8"/>
        <v>5222</v>
      </c>
      <c r="G46" s="35">
        <f t="shared" si="7"/>
        <v>286.55096569458885</v>
      </c>
    </row>
    <row r="47" spans="1:7" ht="12.75">
      <c r="A47" s="44">
        <f t="shared" si="9"/>
        <v>43435</v>
      </c>
      <c r="B47" s="35">
        <v>182414913</v>
      </c>
      <c r="C47" s="35">
        <v>1701288</v>
      </c>
      <c r="D47" s="35">
        <f t="shared" si="1"/>
        <v>169755319</v>
      </c>
      <c r="E47" s="35">
        <v>10958306</v>
      </c>
      <c r="F47" s="37">
        <f t="shared" si="8"/>
        <v>5222</v>
      </c>
      <c r="G47" s="35">
        <f t="shared" si="7"/>
        <v>299.78404552169394</v>
      </c>
    </row>
    <row r="48" spans="1:7" ht="12.75">
      <c r="A48" s="44">
        <f t="shared" si="9"/>
        <v>43442</v>
      </c>
      <c r="B48" s="35">
        <v>182843813.27999997</v>
      </c>
      <c r="C48" s="35">
        <v>1702990.51</v>
      </c>
      <c r="D48" s="35">
        <f t="shared" si="1"/>
        <v>170219098.57</v>
      </c>
      <c r="E48" s="35">
        <v>10921724.199999997</v>
      </c>
      <c r="F48" s="37">
        <f t="shared" si="8"/>
        <v>5222</v>
      </c>
      <c r="G48" s="35">
        <f t="shared" si="7"/>
        <v>298.78328500300915</v>
      </c>
    </row>
    <row r="49" spans="1:7" ht="12.75">
      <c r="A49" s="44">
        <f t="shared" si="9"/>
        <v>43449</v>
      </c>
      <c r="B49" s="35">
        <v>178197135</v>
      </c>
      <c r="C49" s="35">
        <f>1620601-13081</f>
        <v>1607520</v>
      </c>
      <c r="D49" s="35">
        <f t="shared" si="1"/>
        <v>165498875</v>
      </c>
      <c r="E49" s="35">
        <v>11090740</v>
      </c>
      <c r="F49" s="37">
        <f aca="true" t="shared" si="10" ref="F49:F54">36554/7</f>
        <v>5222</v>
      </c>
      <c r="G49" s="35">
        <f t="shared" si="7"/>
        <v>303.40701428024295</v>
      </c>
    </row>
    <row r="50" spans="1:7" ht="12.75">
      <c r="A50" s="44">
        <f t="shared" si="9"/>
        <v>43456</v>
      </c>
      <c r="B50" s="35">
        <v>173425338</v>
      </c>
      <c r="C50" s="35">
        <v>1538690</v>
      </c>
      <c r="D50" s="35">
        <f t="shared" si="1"/>
        <v>161405112</v>
      </c>
      <c r="E50" s="35">
        <v>10481536</v>
      </c>
      <c r="F50" s="37">
        <f t="shared" si="10"/>
        <v>5222</v>
      </c>
      <c r="G50" s="35">
        <f t="shared" si="7"/>
        <v>286.74115007933466</v>
      </c>
    </row>
    <row r="51" spans="1:7" ht="12.75">
      <c r="A51" s="44">
        <f t="shared" si="9"/>
        <v>43463</v>
      </c>
      <c r="B51" s="35">
        <v>214110941</v>
      </c>
      <c r="C51" s="35">
        <v>2020867</v>
      </c>
      <c r="D51" s="35">
        <f t="shared" si="1"/>
        <v>198937892</v>
      </c>
      <c r="E51" s="35">
        <v>13152182</v>
      </c>
      <c r="F51" s="37">
        <f t="shared" si="10"/>
        <v>5222</v>
      </c>
      <c r="G51" s="35">
        <f t="shared" si="7"/>
        <v>359.8014444383652</v>
      </c>
    </row>
    <row r="52" spans="1:7" ht="12.75">
      <c r="A52" s="44">
        <f t="shared" si="9"/>
        <v>43470</v>
      </c>
      <c r="B52" s="35">
        <v>214114177</v>
      </c>
      <c r="C52" s="35">
        <v>1862024</v>
      </c>
      <c r="D52" s="35">
        <f t="shared" si="1"/>
        <v>199036965</v>
      </c>
      <c r="E52" s="35">
        <v>13215188</v>
      </c>
      <c r="F52" s="37">
        <f t="shared" si="10"/>
        <v>5222</v>
      </c>
      <c r="G52" s="35">
        <f t="shared" si="7"/>
        <v>361.52508617387974</v>
      </c>
    </row>
    <row r="53" spans="1:7" ht="12.75">
      <c r="A53" s="44">
        <f t="shared" si="9"/>
        <v>43477</v>
      </c>
      <c r="B53" s="35">
        <v>177650610</v>
      </c>
      <c r="C53" s="35">
        <f>1566063-11330</f>
        <v>1554733</v>
      </c>
      <c r="D53" s="35">
        <f t="shared" si="1"/>
        <v>165242115</v>
      </c>
      <c r="E53" s="35">
        <v>10853762</v>
      </c>
      <c r="F53" s="37">
        <f t="shared" si="10"/>
        <v>5222</v>
      </c>
      <c r="G53" s="35">
        <f t="shared" si="7"/>
        <v>296.9240575586803</v>
      </c>
    </row>
    <row r="54" spans="1:7" ht="12.75">
      <c r="A54" s="44">
        <f t="shared" si="9"/>
        <v>43484</v>
      </c>
      <c r="B54" s="35">
        <v>167806755</v>
      </c>
      <c r="C54" s="35">
        <v>1592537</v>
      </c>
      <c r="D54" s="35">
        <f t="shared" si="1"/>
        <v>156016281</v>
      </c>
      <c r="E54" s="35">
        <v>10197937</v>
      </c>
      <c r="F54" s="37">
        <f t="shared" si="10"/>
        <v>5222</v>
      </c>
      <c r="G54" s="35">
        <f t="shared" si="7"/>
        <v>278.9827925808393</v>
      </c>
    </row>
    <row r="55" spans="1:7" ht="12.75">
      <c r="A55" s="44">
        <f t="shared" si="9"/>
        <v>43491</v>
      </c>
      <c r="B55" s="35">
        <v>173472416</v>
      </c>
      <c r="C55" s="35">
        <v>1526571</v>
      </c>
      <c r="D55" s="35">
        <f t="shared" si="1"/>
        <v>161788840</v>
      </c>
      <c r="E55" s="35">
        <v>10157005</v>
      </c>
      <c r="F55" s="37">
        <f aca="true" t="shared" si="11" ref="F55:F60">36554/7</f>
        <v>5222</v>
      </c>
      <c r="G55" s="35">
        <f t="shared" si="7"/>
        <v>277.8630245663949</v>
      </c>
    </row>
    <row r="56" spans="1:7" ht="12.75">
      <c r="A56" s="44">
        <f t="shared" si="9"/>
        <v>43498</v>
      </c>
      <c r="B56" s="35">
        <v>182097258</v>
      </c>
      <c r="C56" s="35">
        <v>1767459</v>
      </c>
      <c r="D56" s="35">
        <f t="shared" si="1"/>
        <v>169511648</v>
      </c>
      <c r="E56" s="35">
        <v>10818151</v>
      </c>
      <c r="F56" s="37">
        <f t="shared" si="11"/>
        <v>5222</v>
      </c>
      <c r="G56" s="35">
        <f t="shared" si="7"/>
        <v>295.9498550090278</v>
      </c>
    </row>
    <row r="57" spans="1:7" ht="12.75">
      <c r="A57" s="44">
        <f t="shared" si="9"/>
        <v>43505</v>
      </c>
      <c r="B57" s="35">
        <v>196384835</v>
      </c>
      <c r="C57" s="35">
        <v>1917690</v>
      </c>
      <c r="D57" s="35">
        <f t="shared" si="1"/>
        <v>182625891</v>
      </c>
      <c r="E57" s="35">
        <v>11841254</v>
      </c>
      <c r="F57" s="37">
        <f t="shared" si="11"/>
        <v>5222</v>
      </c>
      <c r="G57" s="35">
        <f t="shared" si="7"/>
        <v>323.9386660830552</v>
      </c>
    </row>
    <row r="58" spans="1:7" ht="12.75">
      <c r="A58" s="44">
        <f t="shared" si="9"/>
        <v>43512</v>
      </c>
      <c r="B58" s="35">
        <v>190182262</v>
      </c>
      <c r="C58" s="35">
        <f>1745363-99177</f>
        <v>1646186</v>
      </c>
      <c r="D58" s="35">
        <f t="shared" si="1"/>
        <v>176953503</v>
      </c>
      <c r="E58" s="35">
        <v>11582573</v>
      </c>
      <c r="F58" s="37">
        <f t="shared" si="11"/>
        <v>5222</v>
      </c>
      <c r="G58" s="35">
        <f t="shared" si="7"/>
        <v>316.8619850084806</v>
      </c>
    </row>
    <row r="59" spans="1:7" ht="12.75">
      <c r="A59" s="44">
        <f t="shared" si="9"/>
        <v>43519</v>
      </c>
      <c r="B59" s="35">
        <v>204770131</v>
      </c>
      <c r="C59" s="35">
        <v>1740060</v>
      </c>
      <c r="D59" s="35">
        <f t="shared" si="1"/>
        <v>190411086</v>
      </c>
      <c r="E59" s="35">
        <v>12618985</v>
      </c>
      <c r="F59" s="37">
        <f t="shared" si="11"/>
        <v>5222</v>
      </c>
      <c r="G59" s="35">
        <f t="shared" si="7"/>
        <v>345.2148875636045</v>
      </c>
    </row>
    <row r="60" spans="1:7" ht="12.75">
      <c r="A60" s="44">
        <f t="shared" si="9"/>
        <v>43526</v>
      </c>
      <c r="B60" s="35">
        <v>213018050</v>
      </c>
      <c r="C60" s="35">
        <v>2140338</v>
      </c>
      <c r="D60" s="35">
        <f t="shared" si="1"/>
        <v>197917529</v>
      </c>
      <c r="E60" s="35">
        <v>12960183</v>
      </c>
      <c r="F60" s="37">
        <f t="shared" si="11"/>
        <v>5222</v>
      </c>
      <c r="G60" s="35">
        <f t="shared" si="7"/>
        <v>354.54896864912183</v>
      </c>
    </row>
    <row r="61" spans="1:7" ht="12.75">
      <c r="A61" s="44">
        <f t="shared" si="9"/>
        <v>43533</v>
      </c>
      <c r="B61" s="35">
        <v>203334907</v>
      </c>
      <c r="C61" s="35">
        <v>1725139</v>
      </c>
      <c r="D61" s="35">
        <f t="shared" si="1"/>
        <v>188843560</v>
      </c>
      <c r="E61" s="35">
        <v>12766208</v>
      </c>
      <c r="F61" s="37">
        <f>36554/7</f>
        <v>5222</v>
      </c>
      <c r="G61" s="35">
        <f t="shared" si="7"/>
        <v>349.24243584833397</v>
      </c>
    </row>
    <row r="62" spans="1:7" ht="12.75">
      <c r="A62" s="44">
        <f t="shared" si="9"/>
        <v>43540</v>
      </c>
      <c r="B62" s="35">
        <v>206723631</v>
      </c>
      <c r="C62" s="35">
        <f>1892010-73929</f>
        <v>1818081</v>
      </c>
      <c r="D62" s="35">
        <f t="shared" si="1"/>
        <v>192423851</v>
      </c>
      <c r="E62" s="35">
        <v>12481699</v>
      </c>
      <c r="F62" s="37">
        <f>36554/7</f>
        <v>5222</v>
      </c>
      <c r="G62" s="35">
        <f t="shared" si="7"/>
        <v>341.4591836734694</v>
      </c>
    </row>
    <row r="63" spans="1:7" ht="12.75">
      <c r="A63" s="44">
        <f t="shared" si="9"/>
        <v>43547</v>
      </c>
      <c r="B63" s="35">
        <v>207814257</v>
      </c>
      <c r="C63" s="35">
        <v>1788707</v>
      </c>
      <c r="D63" s="35">
        <f t="shared" si="1"/>
        <v>193380419</v>
      </c>
      <c r="E63" s="35">
        <v>12645131</v>
      </c>
      <c r="F63" s="37">
        <f>36554/7</f>
        <v>5222</v>
      </c>
      <c r="G63" s="35">
        <f t="shared" si="7"/>
        <v>345.9301581222301</v>
      </c>
    </row>
    <row r="64" ht="12.75">
      <c r="A64" s="44"/>
    </row>
    <row r="65" spans="1:7" ht="13.5" thickBot="1">
      <c r="A65" s="38" t="s">
        <v>8</v>
      </c>
      <c r="B65" s="42">
        <f>SUM(B12:B63)</f>
        <v>10007587891.759998</v>
      </c>
      <c r="C65" s="42">
        <f>SUM(C12:C63)</f>
        <v>90181057.57</v>
      </c>
      <c r="D65" s="42">
        <f>SUM(D12:D63)</f>
        <v>9313885124.259998</v>
      </c>
      <c r="E65" s="42">
        <f>SUM(E12:E63)</f>
        <v>603521709.9300001</v>
      </c>
      <c r="F65" s="43">
        <f>SUM(F12:F63)/COUNT(F12:F63)</f>
        <v>5221.736263736263</v>
      </c>
      <c r="G65" s="42">
        <f>+E65/SUM(F12:F63)/7</f>
        <v>317.5240172787882</v>
      </c>
    </row>
    <row r="66" spans="1:5" s="39" customFormat="1" ht="13.5" thickTop="1">
      <c r="A66" s="41"/>
      <c r="B66" s="40"/>
      <c r="C66" s="40"/>
      <c r="D66" s="40"/>
      <c r="E66" s="40"/>
    </row>
  </sheetData>
  <sheetProtection/>
  <mergeCells count="6">
    <mergeCell ref="A7:G7"/>
    <mergeCell ref="A1:G1"/>
    <mergeCell ref="A2:G2"/>
    <mergeCell ref="A3:G3"/>
    <mergeCell ref="A4:G4"/>
    <mergeCell ref="A5:G5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8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pane ySplit="11" topLeftCell="A51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16.00390625" style="3" customWidth="1"/>
    <col min="2" max="5" width="16.00390625" style="15" customWidth="1"/>
    <col min="6" max="6" width="16.00390625" style="16" customWidth="1"/>
    <col min="7" max="7" width="16.00390625" style="15" customWidth="1"/>
  </cols>
  <sheetData>
    <row r="1" spans="1:8" ht="18">
      <c r="A1" s="73" t="s">
        <v>15</v>
      </c>
      <c r="B1" s="73"/>
      <c r="C1" s="73"/>
      <c r="D1" s="73"/>
      <c r="E1" s="73"/>
      <c r="F1" s="73"/>
      <c r="G1" s="73"/>
      <c r="H1" s="26"/>
    </row>
    <row r="2" spans="1:8" ht="15">
      <c r="A2" s="74" t="s">
        <v>16</v>
      </c>
      <c r="B2" s="74"/>
      <c r="C2" s="74"/>
      <c r="D2" s="74"/>
      <c r="E2" s="74"/>
      <c r="F2" s="74"/>
      <c r="G2" s="74"/>
      <c r="H2" s="27"/>
    </row>
    <row r="3" spans="1:8" s="1" customFormat="1" ht="15">
      <c r="A3" s="74" t="s">
        <v>17</v>
      </c>
      <c r="B3" s="74"/>
      <c r="C3" s="74"/>
      <c r="D3" s="74"/>
      <c r="E3" s="74"/>
      <c r="F3" s="74"/>
      <c r="G3" s="74"/>
      <c r="H3" s="27"/>
    </row>
    <row r="4" spans="1:8" s="1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1" customFormat="1" ht="14.25">
      <c r="A5" s="75" t="s">
        <v>19</v>
      </c>
      <c r="B5" s="75"/>
      <c r="C5" s="75"/>
      <c r="D5" s="75"/>
      <c r="E5" s="75"/>
      <c r="F5" s="75"/>
      <c r="G5" s="75"/>
      <c r="H5" s="29"/>
    </row>
    <row r="6" spans="1:8" s="1" customFormat="1" ht="14.25">
      <c r="A6" s="2"/>
      <c r="B6" s="2"/>
      <c r="C6" s="2"/>
      <c r="D6" s="2"/>
      <c r="E6" s="2"/>
      <c r="F6" s="2"/>
      <c r="G6" s="2"/>
      <c r="H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70" t="s">
        <v>29</v>
      </c>
      <c r="B8" s="71"/>
      <c r="C8" s="71"/>
      <c r="D8" s="71"/>
      <c r="E8" s="71"/>
      <c r="F8" s="71"/>
      <c r="G8" s="72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21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42826</v>
      </c>
      <c r="B13" s="15">
        <v>198709071</v>
      </c>
      <c r="C13" s="15">
        <v>1496430</v>
      </c>
      <c r="D13" s="35">
        <f>IF(ISBLANK(B13),"",B13-C13-E13)</f>
        <v>185100047</v>
      </c>
      <c r="E13" s="15">
        <v>12112594</v>
      </c>
      <c r="F13" s="16">
        <v>5222</v>
      </c>
      <c r="G13" s="15">
        <v>331</v>
      </c>
    </row>
    <row r="14" spans="1:7" ht="12.75">
      <c r="A14" s="22">
        <f aca="true" t="shared" si="0" ref="A14:A64">+A13+7</f>
        <v>42833</v>
      </c>
      <c r="B14" s="15">
        <v>200657868</v>
      </c>
      <c r="C14" s="15">
        <v>1277973</v>
      </c>
      <c r="D14" s="35">
        <f aca="true" t="shared" si="1" ref="D14:D64">IF(ISBLANK(B14),"",B14-C14-E14)</f>
        <v>186797065</v>
      </c>
      <c r="E14" s="15">
        <v>12582830</v>
      </c>
      <c r="F14" s="16">
        <v>5222</v>
      </c>
      <c r="G14" s="15">
        <v>344</v>
      </c>
    </row>
    <row r="15" spans="1:7" ht="12.75">
      <c r="A15" s="22">
        <f t="shared" si="0"/>
        <v>42840</v>
      </c>
      <c r="B15" s="15">
        <v>196279877</v>
      </c>
      <c r="C15" s="15">
        <v>1347898</v>
      </c>
      <c r="D15" s="35">
        <f t="shared" si="1"/>
        <v>182731833</v>
      </c>
      <c r="E15" s="15">
        <v>12200146</v>
      </c>
      <c r="F15" s="16">
        <v>5222</v>
      </c>
      <c r="G15" s="15">
        <v>334</v>
      </c>
    </row>
    <row r="16" spans="1:7" ht="12.75">
      <c r="A16" s="22">
        <f t="shared" si="0"/>
        <v>42847</v>
      </c>
      <c r="B16" s="15">
        <v>193567333</v>
      </c>
      <c r="C16" s="15">
        <v>1451253</v>
      </c>
      <c r="D16" s="35">
        <f t="shared" si="1"/>
        <v>180145567</v>
      </c>
      <c r="E16" s="15">
        <v>11970513</v>
      </c>
      <c r="F16" s="16">
        <v>5222</v>
      </c>
      <c r="G16" s="15">
        <v>327</v>
      </c>
    </row>
    <row r="17" spans="1:7" ht="12.75">
      <c r="A17" s="22">
        <f t="shared" si="0"/>
        <v>42854</v>
      </c>
      <c r="B17" s="15">
        <v>196166320</v>
      </c>
      <c r="C17" s="15">
        <v>1484692</v>
      </c>
      <c r="D17" s="35">
        <f t="shared" si="1"/>
        <v>182684599</v>
      </c>
      <c r="E17" s="15">
        <v>11997029</v>
      </c>
      <c r="F17" s="16">
        <v>5222</v>
      </c>
      <c r="G17" s="15">
        <v>328</v>
      </c>
    </row>
    <row r="18" spans="1:7" ht="12.75">
      <c r="A18" s="22">
        <f t="shared" si="0"/>
        <v>42861</v>
      </c>
      <c r="B18" s="15">
        <v>200937028</v>
      </c>
      <c r="C18" s="15">
        <v>1464150</v>
      </c>
      <c r="D18" s="35">
        <f t="shared" si="1"/>
        <v>186695790</v>
      </c>
      <c r="E18" s="15">
        <v>12777088</v>
      </c>
      <c r="F18" s="16">
        <v>5222</v>
      </c>
      <c r="G18" s="15">
        <v>350</v>
      </c>
    </row>
    <row r="19" spans="1:7" ht="12.75">
      <c r="A19" s="22">
        <f t="shared" si="0"/>
        <v>42868</v>
      </c>
      <c r="B19" s="15">
        <v>188889962</v>
      </c>
      <c r="C19" s="15">
        <v>1378729</v>
      </c>
      <c r="D19" s="35">
        <f t="shared" si="1"/>
        <v>176081397</v>
      </c>
      <c r="E19" s="15">
        <v>11429836</v>
      </c>
      <c r="F19" s="16">
        <v>5222</v>
      </c>
      <c r="G19" s="15">
        <v>313</v>
      </c>
    </row>
    <row r="20" spans="1:7" ht="12.75">
      <c r="A20" s="22">
        <f t="shared" si="0"/>
        <v>42875</v>
      </c>
      <c r="B20" s="15">
        <v>195885189</v>
      </c>
      <c r="C20" s="15">
        <v>1471505</v>
      </c>
      <c r="D20" s="35">
        <f t="shared" si="1"/>
        <v>182276443</v>
      </c>
      <c r="E20" s="15">
        <v>12137241</v>
      </c>
      <c r="F20" s="16">
        <v>5222</v>
      </c>
      <c r="G20" s="15">
        <v>332</v>
      </c>
    </row>
    <row r="21" spans="1:7" ht="12.75">
      <c r="A21" s="22">
        <f t="shared" si="0"/>
        <v>42882</v>
      </c>
      <c r="B21" s="15">
        <v>191022548</v>
      </c>
      <c r="C21" s="15">
        <v>1487153</v>
      </c>
      <c r="D21" s="35">
        <f t="shared" si="1"/>
        <v>178019521</v>
      </c>
      <c r="E21" s="15">
        <v>11515874</v>
      </c>
      <c r="F21" s="16">
        <v>5222</v>
      </c>
      <c r="G21" s="15">
        <v>315</v>
      </c>
    </row>
    <row r="22" spans="1:7" ht="12.75">
      <c r="A22" s="22">
        <f t="shared" si="0"/>
        <v>42889</v>
      </c>
      <c r="B22" s="15">
        <v>216671865</v>
      </c>
      <c r="C22" s="15">
        <v>1753632</v>
      </c>
      <c r="D22" s="35">
        <f t="shared" si="1"/>
        <v>201489950</v>
      </c>
      <c r="E22" s="15">
        <v>13428283</v>
      </c>
      <c r="F22" s="16">
        <v>5222</v>
      </c>
      <c r="G22" s="15">
        <v>367</v>
      </c>
    </row>
    <row r="23" spans="1:7" ht="12.75">
      <c r="A23" s="22">
        <f t="shared" si="0"/>
        <v>42896</v>
      </c>
      <c r="B23" s="15">
        <v>188585233</v>
      </c>
      <c r="C23" s="15">
        <v>1510826</v>
      </c>
      <c r="D23" s="35">
        <f t="shared" si="1"/>
        <v>175459094</v>
      </c>
      <c r="E23" s="15">
        <v>11615313</v>
      </c>
      <c r="F23" s="16">
        <v>5222</v>
      </c>
      <c r="G23" s="15">
        <v>318</v>
      </c>
    </row>
    <row r="24" spans="1:7" ht="12.75">
      <c r="A24" s="22">
        <f t="shared" si="0"/>
        <v>42903</v>
      </c>
      <c r="B24" s="15">
        <v>180285728</v>
      </c>
      <c r="C24" s="15">
        <v>1518262</v>
      </c>
      <c r="D24" s="35">
        <f t="shared" si="1"/>
        <v>167581523</v>
      </c>
      <c r="E24" s="15">
        <v>11185943</v>
      </c>
      <c r="F24" s="16">
        <v>5222</v>
      </c>
      <c r="G24" s="15">
        <v>306</v>
      </c>
    </row>
    <row r="25" spans="1:7" ht="12.75">
      <c r="A25" s="22">
        <f t="shared" si="0"/>
        <v>42910</v>
      </c>
      <c r="B25" s="15">
        <v>183951266</v>
      </c>
      <c r="C25" s="15">
        <v>1567056</v>
      </c>
      <c r="D25" s="35">
        <f t="shared" si="1"/>
        <v>171595801</v>
      </c>
      <c r="E25" s="15">
        <v>10788409</v>
      </c>
      <c r="F25" s="16">
        <v>5222</v>
      </c>
      <c r="G25" s="15">
        <v>295</v>
      </c>
    </row>
    <row r="26" spans="1:7" ht="12.75">
      <c r="A26" s="22">
        <f t="shared" si="0"/>
        <v>42917</v>
      </c>
      <c r="B26" s="15">
        <v>195022325</v>
      </c>
      <c r="C26" s="15">
        <v>1686025</v>
      </c>
      <c r="D26" s="35">
        <f t="shared" si="1"/>
        <v>181304296</v>
      </c>
      <c r="E26" s="15">
        <v>12032004</v>
      </c>
      <c r="F26" s="16">
        <v>5222</v>
      </c>
      <c r="G26" s="15">
        <v>329</v>
      </c>
    </row>
    <row r="27" spans="1:7" ht="12.75">
      <c r="A27" s="22">
        <f t="shared" si="0"/>
        <v>42924</v>
      </c>
      <c r="B27" s="15">
        <v>214175232</v>
      </c>
      <c r="C27" s="15">
        <v>1647128</v>
      </c>
      <c r="D27" s="35">
        <f t="shared" si="1"/>
        <v>199474528</v>
      </c>
      <c r="E27" s="15">
        <v>13053576</v>
      </c>
      <c r="F27" s="16">
        <v>5222</v>
      </c>
      <c r="G27" s="15">
        <v>357</v>
      </c>
    </row>
    <row r="28" spans="1:7" ht="12.75">
      <c r="A28" s="22">
        <f t="shared" si="0"/>
        <v>42931</v>
      </c>
      <c r="B28" s="15">
        <v>189054535</v>
      </c>
      <c r="C28" s="15">
        <v>1511163</v>
      </c>
      <c r="D28" s="35">
        <f t="shared" si="1"/>
        <v>176393756</v>
      </c>
      <c r="E28" s="15">
        <v>11149616</v>
      </c>
      <c r="F28" s="16">
        <v>5222</v>
      </c>
      <c r="G28" s="15">
        <v>305</v>
      </c>
    </row>
    <row r="29" spans="1:7" ht="12.75">
      <c r="A29" s="22">
        <f t="shared" si="0"/>
        <v>42938</v>
      </c>
      <c r="B29" s="15">
        <v>182382822</v>
      </c>
      <c r="C29" s="15">
        <v>1559741</v>
      </c>
      <c r="D29" s="35">
        <f t="shared" si="1"/>
        <v>169956692</v>
      </c>
      <c r="E29" s="15">
        <v>10866389</v>
      </c>
      <c r="F29" s="16">
        <v>5188</v>
      </c>
      <c r="G29" s="15">
        <v>299</v>
      </c>
    </row>
    <row r="30" spans="1:7" ht="12.75">
      <c r="A30" s="22">
        <f t="shared" si="0"/>
        <v>42945</v>
      </c>
      <c r="B30" s="15">
        <v>194416236</v>
      </c>
      <c r="C30" s="15">
        <v>1553257</v>
      </c>
      <c r="D30" s="35">
        <f t="shared" si="1"/>
        <v>181316041</v>
      </c>
      <c r="E30" s="15">
        <v>11546938</v>
      </c>
      <c r="F30" s="16">
        <v>5193</v>
      </c>
      <c r="G30" s="15">
        <v>318</v>
      </c>
    </row>
    <row r="31" spans="1:7" ht="12.75">
      <c r="A31" s="22">
        <f t="shared" si="0"/>
        <v>42952</v>
      </c>
      <c r="B31" s="15">
        <v>201094503</v>
      </c>
      <c r="C31" s="15">
        <v>1745669</v>
      </c>
      <c r="D31" s="35">
        <f t="shared" si="1"/>
        <v>187137574</v>
      </c>
      <c r="E31" s="15">
        <v>12211260</v>
      </c>
      <c r="F31" s="16">
        <v>5222</v>
      </c>
      <c r="G31" s="15">
        <v>334</v>
      </c>
    </row>
    <row r="32" spans="1:7" ht="12.75">
      <c r="A32" s="22">
        <f t="shared" si="0"/>
        <v>42959</v>
      </c>
      <c r="B32" s="15">
        <v>188744677</v>
      </c>
      <c r="C32" s="15">
        <v>1561091</v>
      </c>
      <c r="D32" s="35">
        <f t="shared" si="1"/>
        <v>175509153</v>
      </c>
      <c r="E32" s="15">
        <v>11674433</v>
      </c>
      <c r="F32" s="16">
        <v>5222</v>
      </c>
      <c r="G32" s="15">
        <v>319</v>
      </c>
    </row>
    <row r="33" spans="1:7" ht="12.75">
      <c r="A33" s="22">
        <f t="shared" si="0"/>
        <v>42966</v>
      </c>
      <c r="B33" s="15">
        <v>187847296</v>
      </c>
      <c r="C33" s="15">
        <v>1510859</v>
      </c>
      <c r="D33" s="35">
        <f t="shared" si="1"/>
        <v>175528291</v>
      </c>
      <c r="E33" s="15">
        <v>10808146</v>
      </c>
      <c r="F33" s="16">
        <v>5222</v>
      </c>
      <c r="G33" s="15">
        <v>296</v>
      </c>
    </row>
    <row r="34" spans="1:7" ht="12.75">
      <c r="A34" s="22">
        <f t="shared" si="0"/>
        <v>42973</v>
      </c>
      <c r="B34" s="15">
        <v>181000333</v>
      </c>
      <c r="C34" s="15">
        <v>1619968</v>
      </c>
      <c r="D34" s="35">
        <f t="shared" si="1"/>
        <v>168615571</v>
      </c>
      <c r="E34" s="15">
        <v>10764794</v>
      </c>
      <c r="F34" s="16">
        <v>5222</v>
      </c>
      <c r="G34" s="15">
        <v>294</v>
      </c>
    </row>
    <row r="35" spans="1:7" ht="12.75">
      <c r="A35" s="22">
        <f t="shared" si="0"/>
        <v>42980</v>
      </c>
      <c r="B35" s="15">
        <v>195304795</v>
      </c>
      <c r="C35" s="15">
        <v>1664272</v>
      </c>
      <c r="D35" s="35">
        <f t="shared" si="1"/>
        <v>182223703</v>
      </c>
      <c r="E35" s="15">
        <v>11416820</v>
      </c>
      <c r="F35" s="16">
        <v>5222</v>
      </c>
      <c r="G35" s="15">
        <v>312</v>
      </c>
    </row>
    <row r="36" spans="1:7" ht="12.75">
      <c r="A36" s="22">
        <f t="shared" si="0"/>
        <v>42987</v>
      </c>
      <c r="B36" s="15">
        <v>202546867</v>
      </c>
      <c r="C36" s="15">
        <v>1639908</v>
      </c>
      <c r="D36" s="35">
        <f t="shared" si="1"/>
        <v>188770702</v>
      </c>
      <c r="E36" s="15">
        <v>12136257</v>
      </c>
      <c r="F36" s="16">
        <v>5222</v>
      </c>
      <c r="G36" s="15">
        <v>332</v>
      </c>
    </row>
    <row r="37" spans="1:7" ht="12.75">
      <c r="A37" s="22">
        <f t="shared" si="0"/>
        <v>42994</v>
      </c>
      <c r="B37" s="15">
        <v>185673563</v>
      </c>
      <c r="C37" s="15">
        <v>1820362</v>
      </c>
      <c r="D37" s="35">
        <f t="shared" si="1"/>
        <v>173069976</v>
      </c>
      <c r="E37" s="15">
        <v>10783225</v>
      </c>
      <c r="F37" s="16">
        <v>5222</v>
      </c>
      <c r="G37" s="15">
        <v>295</v>
      </c>
    </row>
    <row r="38" spans="1:7" ht="12.75">
      <c r="A38" s="22">
        <f t="shared" si="0"/>
        <v>43001</v>
      </c>
      <c r="B38" s="15">
        <v>185824387</v>
      </c>
      <c r="C38" s="15">
        <v>1650599</v>
      </c>
      <c r="D38" s="35">
        <f t="shared" si="1"/>
        <v>172863923</v>
      </c>
      <c r="E38" s="15">
        <v>11309865</v>
      </c>
      <c r="F38" s="16">
        <v>5222</v>
      </c>
      <c r="G38" s="15">
        <v>309</v>
      </c>
    </row>
    <row r="39" spans="1:7" ht="12.75">
      <c r="A39" s="22">
        <f t="shared" si="0"/>
        <v>43008</v>
      </c>
      <c r="B39" s="15">
        <v>191700686</v>
      </c>
      <c r="C39" s="15">
        <v>1818815</v>
      </c>
      <c r="D39" s="35">
        <f t="shared" si="1"/>
        <v>178699977</v>
      </c>
      <c r="E39" s="15">
        <v>11181894</v>
      </c>
      <c r="F39" s="34">
        <v>5222</v>
      </c>
      <c r="G39" s="15">
        <v>306</v>
      </c>
    </row>
    <row r="40" spans="1:7" ht="12.75">
      <c r="A40" s="22">
        <f t="shared" si="0"/>
        <v>43015</v>
      </c>
      <c r="B40" s="15">
        <v>190875406</v>
      </c>
      <c r="C40" s="15">
        <v>1588344</v>
      </c>
      <c r="D40" s="35">
        <f t="shared" si="1"/>
        <v>177330858</v>
      </c>
      <c r="E40" s="15">
        <v>11956204</v>
      </c>
      <c r="F40" s="16">
        <v>5222</v>
      </c>
      <c r="G40" s="15">
        <v>327</v>
      </c>
    </row>
    <row r="41" spans="1:7" ht="12.75">
      <c r="A41" s="22">
        <f t="shared" si="0"/>
        <v>43022</v>
      </c>
      <c r="B41" s="15">
        <v>187388885</v>
      </c>
      <c r="C41" s="15">
        <v>1569529</v>
      </c>
      <c r="D41" s="35">
        <f t="shared" si="1"/>
        <v>174635727</v>
      </c>
      <c r="E41" s="15">
        <v>11183629</v>
      </c>
      <c r="F41" s="16">
        <v>5222</v>
      </c>
      <c r="G41" s="15">
        <v>306</v>
      </c>
    </row>
    <row r="42" spans="1:7" ht="12.75">
      <c r="A42" s="22">
        <f t="shared" si="0"/>
        <v>43029</v>
      </c>
      <c r="B42" s="15">
        <v>175597162</v>
      </c>
      <c r="C42" s="15">
        <v>1582587</v>
      </c>
      <c r="D42" s="35">
        <f t="shared" si="1"/>
        <v>163320133</v>
      </c>
      <c r="E42" s="15">
        <v>10694442</v>
      </c>
      <c r="F42" s="16">
        <v>5222</v>
      </c>
      <c r="G42" s="15">
        <v>293</v>
      </c>
    </row>
    <row r="43" spans="1:7" ht="12.75">
      <c r="A43" s="22">
        <f t="shared" si="0"/>
        <v>43036</v>
      </c>
      <c r="B43" s="15">
        <v>177911176</v>
      </c>
      <c r="C43" s="15">
        <v>1577990</v>
      </c>
      <c r="D43" s="35">
        <f t="shared" si="1"/>
        <v>165560754</v>
      </c>
      <c r="E43" s="15">
        <v>10772432</v>
      </c>
      <c r="F43" s="16">
        <v>5222</v>
      </c>
      <c r="G43" s="15">
        <v>295</v>
      </c>
    </row>
    <row r="44" spans="1:7" ht="12.75">
      <c r="A44" s="22">
        <f t="shared" si="0"/>
        <v>43043</v>
      </c>
      <c r="B44" s="15">
        <v>186817097</v>
      </c>
      <c r="C44" s="15">
        <v>1669893</v>
      </c>
      <c r="D44" s="35">
        <f t="shared" si="1"/>
        <v>173885824</v>
      </c>
      <c r="E44" s="15">
        <v>11261380</v>
      </c>
      <c r="F44" s="16">
        <v>5222</v>
      </c>
      <c r="G44" s="15">
        <v>308</v>
      </c>
    </row>
    <row r="45" spans="1:7" ht="12.75">
      <c r="A45" s="22">
        <f t="shared" si="0"/>
        <v>43050</v>
      </c>
      <c r="B45" s="15">
        <v>180839909</v>
      </c>
      <c r="C45" s="15">
        <v>1521009</v>
      </c>
      <c r="D45" s="35">
        <f t="shared" si="1"/>
        <v>168487786</v>
      </c>
      <c r="E45" s="15">
        <v>10831114</v>
      </c>
      <c r="F45" s="16">
        <v>5222</v>
      </c>
      <c r="G45" s="15">
        <v>296</v>
      </c>
    </row>
    <row r="46" spans="1:7" ht="12.75">
      <c r="A46" s="22">
        <f t="shared" si="0"/>
        <v>43057</v>
      </c>
      <c r="B46" s="15">
        <v>174939372</v>
      </c>
      <c r="C46" s="15">
        <v>1402477</v>
      </c>
      <c r="D46" s="35">
        <f t="shared" si="1"/>
        <v>163007895</v>
      </c>
      <c r="E46" s="15">
        <v>10529000</v>
      </c>
      <c r="F46" s="16">
        <v>5222</v>
      </c>
      <c r="G46" s="15">
        <v>288</v>
      </c>
    </row>
    <row r="47" spans="1:7" ht="12.75">
      <c r="A47" s="22">
        <f t="shared" si="0"/>
        <v>43064</v>
      </c>
      <c r="B47" s="15">
        <v>187980136</v>
      </c>
      <c r="C47" s="15">
        <v>1397678</v>
      </c>
      <c r="D47" s="35">
        <f t="shared" si="1"/>
        <v>175461330</v>
      </c>
      <c r="E47" s="15">
        <v>11121128</v>
      </c>
      <c r="F47" s="16">
        <v>5222</v>
      </c>
      <c r="G47" s="15">
        <v>304</v>
      </c>
    </row>
    <row r="48" spans="1:7" ht="12.75">
      <c r="A48" s="22">
        <f t="shared" si="0"/>
        <v>43071</v>
      </c>
      <c r="B48" s="15">
        <v>185600399</v>
      </c>
      <c r="C48" s="15">
        <v>1537478</v>
      </c>
      <c r="D48" s="35">
        <f t="shared" si="1"/>
        <v>172808029</v>
      </c>
      <c r="E48" s="15">
        <v>11254892</v>
      </c>
      <c r="F48" s="16">
        <v>5222</v>
      </c>
      <c r="G48" s="15">
        <v>308</v>
      </c>
    </row>
    <row r="49" spans="1:7" ht="12.75">
      <c r="A49" s="22">
        <f t="shared" si="0"/>
        <v>43078</v>
      </c>
      <c r="B49" s="15">
        <v>165719791</v>
      </c>
      <c r="C49" s="15">
        <v>1350295</v>
      </c>
      <c r="D49" s="35">
        <f t="shared" si="1"/>
        <v>154510771</v>
      </c>
      <c r="E49" s="15">
        <v>9858725</v>
      </c>
      <c r="F49" s="16">
        <v>5222</v>
      </c>
      <c r="G49" s="15">
        <v>270</v>
      </c>
    </row>
    <row r="50" spans="1:7" ht="12.75">
      <c r="A50" s="22">
        <f t="shared" si="0"/>
        <v>43085</v>
      </c>
      <c r="B50" s="15">
        <v>163420330</v>
      </c>
      <c r="C50" s="15">
        <v>1448874</v>
      </c>
      <c r="D50" s="35">
        <f t="shared" si="1"/>
        <v>152419161</v>
      </c>
      <c r="E50" s="15">
        <v>9552295</v>
      </c>
      <c r="F50" s="16">
        <v>5222</v>
      </c>
      <c r="G50" s="15">
        <v>261</v>
      </c>
    </row>
    <row r="51" spans="1:7" ht="12.75">
      <c r="A51" s="22">
        <f t="shared" si="0"/>
        <v>43092</v>
      </c>
      <c r="B51" s="15">
        <v>179594633</v>
      </c>
      <c r="C51" s="15">
        <v>1577674</v>
      </c>
      <c r="D51" s="35">
        <f t="shared" si="1"/>
        <v>167367439</v>
      </c>
      <c r="E51" s="15">
        <v>10649520</v>
      </c>
      <c r="F51" s="16">
        <v>5222</v>
      </c>
      <c r="G51" s="15">
        <v>291</v>
      </c>
    </row>
    <row r="52" spans="1:7" ht="12.75">
      <c r="A52" s="22">
        <f t="shared" si="0"/>
        <v>43099</v>
      </c>
      <c r="B52" s="15">
        <v>190697890</v>
      </c>
      <c r="C52" s="15">
        <v>1711231</v>
      </c>
      <c r="D52" s="35">
        <f t="shared" si="1"/>
        <v>177538669</v>
      </c>
      <c r="E52" s="15">
        <v>11447990</v>
      </c>
      <c r="F52" s="16">
        <v>5222</v>
      </c>
      <c r="G52" s="15">
        <v>313</v>
      </c>
    </row>
    <row r="53" spans="1:7" ht="12.75">
      <c r="A53" s="22">
        <f t="shared" si="0"/>
        <v>43106</v>
      </c>
      <c r="B53" s="15">
        <v>158010333</v>
      </c>
      <c r="C53" s="15">
        <v>1403264</v>
      </c>
      <c r="D53" s="35">
        <f t="shared" si="1"/>
        <v>147095477</v>
      </c>
      <c r="E53" s="15">
        <v>9511592</v>
      </c>
      <c r="F53" s="16">
        <v>5222</v>
      </c>
      <c r="G53" s="15">
        <v>260</v>
      </c>
    </row>
    <row r="54" spans="1:7" ht="12.75">
      <c r="A54" s="22">
        <f t="shared" si="0"/>
        <v>43113</v>
      </c>
      <c r="B54" s="15">
        <v>173437701</v>
      </c>
      <c r="C54" s="15">
        <v>1559906</v>
      </c>
      <c r="D54" s="35">
        <f t="shared" si="1"/>
        <v>161234353</v>
      </c>
      <c r="E54" s="15">
        <v>10643442</v>
      </c>
      <c r="F54" s="16">
        <v>5222</v>
      </c>
      <c r="G54" s="15">
        <v>291</v>
      </c>
    </row>
    <row r="55" spans="1:7" ht="12.75">
      <c r="A55" s="22">
        <f t="shared" si="0"/>
        <v>43120</v>
      </c>
      <c r="B55" s="15">
        <v>186525962</v>
      </c>
      <c r="C55" s="15">
        <v>1635596</v>
      </c>
      <c r="D55" s="35">
        <f t="shared" si="1"/>
        <v>173423050</v>
      </c>
      <c r="E55" s="15">
        <v>11467316</v>
      </c>
      <c r="F55" s="16">
        <v>5222</v>
      </c>
      <c r="G55" s="15">
        <v>314</v>
      </c>
    </row>
    <row r="56" spans="1:7" ht="12.75">
      <c r="A56" s="22">
        <f t="shared" si="0"/>
        <v>43127</v>
      </c>
      <c r="B56" s="15">
        <v>182051004</v>
      </c>
      <c r="C56" s="15">
        <v>1601694</v>
      </c>
      <c r="D56" s="35">
        <f t="shared" si="1"/>
        <v>169476072</v>
      </c>
      <c r="E56" s="15">
        <v>10973238</v>
      </c>
      <c r="F56" s="16">
        <v>5222</v>
      </c>
      <c r="G56" s="15">
        <v>300</v>
      </c>
    </row>
    <row r="57" spans="1:7" ht="12.75">
      <c r="A57" s="22">
        <f t="shared" si="0"/>
        <v>43134</v>
      </c>
      <c r="B57" s="15">
        <v>189002439</v>
      </c>
      <c r="C57" s="15">
        <v>1818658</v>
      </c>
      <c r="D57" s="35">
        <f t="shared" si="1"/>
        <v>175612142</v>
      </c>
      <c r="E57" s="15">
        <v>11571639</v>
      </c>
      <c r="F57" s="16">
        <v>5222</v>
      </c>
      <c r="G57" s="15">
        <v>317</v>
      </c>
    </row>
    <row r="58" spans="1:7" ht="12.75">
      <c r="A58" s="22">
        <f t="shared" si="0"/>
        <v>43141</v>
      </c>
      <c r="B58" s="15">
        <v>180685205</v>
      </c>
      <c r="C58" s="15">
        <v>1544648</v>
      </c>
      <c r="D58" s="35">
        <f t="shared" si="1"/>
        <v>168378685</v>
      </c>
      <c r="E58" s="15">
        <v>10761872</v>
      </c>
      <c r="F58" s="16">
        <v>5222</v>
      </c>
      <c r="G58" s="15">
        <v>294</v>
      </c>
    </row>
    <row r="59" spans="1:7" ht="12.75">
      <c r="A59" s="22">
        <f t="shared" si="0"/>
        <v>43148</v>
      </c>
      <c r="B59" s="15">
        <v>183794642</v>
      </c>
      <c r="C59" s="15">
        <v>1724874</v>
      </c>
      <c r="D59" s="35">
        <f t="shared" si="1"/>
        <v>171321647</v>
      </c>
      <c r="E59" s="15">
        <v>10748121</v>
      </c>
      <c r="F59" s="16">
        <v>5222</v>
      </c>
      <c r="G59" s="15">
        <v>294</v>
      </c>
    </row>
    <row r="60" spans="1:7" ht="12.75">
      <c r="A60" s="22">
        <f t="shared" si="0"/>
        <v>43155</v>
      </c>
      <c r="B60" s="15">
        <v>214537373</v>
      </c>
      <c r="C60" s="15">
        <v>1792056</v>
      </c>
      <c r="D60" s="35">
        <f t="shared" si="1"/>
        <v>199621626</v>
      </c>
      <c r="E60" s="15">
        <v>13123691</v>
      </c>
      <c r="F60" s="16">
        <v>5222</v>
      </c>
      <c r="G60" s="15">
        <v>359</v>
      </c>
    </row>
    <row r="61" spans="1:7" ht="12.75">
      <c r="A61" s="22">
        <f t="shared" si="0"/>
        <v>43162</v>
      </c>
      <c r="B61" s="15">
        <v>209040932</v>
      </c>
      <c r="C61" s="15">
        <v>1781613</v>
      </c>
      <c r="D61" s="35">
        <f t="shared" si="1"/>
        <v>194759046</v>
      </c>
      <c r="E61" s="15">
        <v>12500273</v>
      </c>
      <c r="F61" s="16">
        <v>5222</v>
      </c>
      <c r="G61" s="15">
        <v>342</v>
      </c>
    </row>
    <row r="62" spans="1:7" ht="12.75">
      <c r="A62" s="22">
        <f t="shared" si="0"/>
        <v>43169</v>
      </c>
      <c r="B62" s="15">
        <v>193003428</v>
      </c>
      <c r="C62" s="15">
        <v>1405587</v>
      </c>
      <c r="D62" s="35">
        <f t="shared" si="1"/>
        <v>179226291</v>
      </c>
      <c r="E62" s="15">
        <v>12371550</v>
      </c>
      <c r="F62" s="16">
        <v>5222</v>
      </c>
      <c r="G62" s="15">
        <v>338</v>
      </c>
    </row>
    <row r="63" spans="1:7" ht="12.75">
      <c r="A63" s="22">
        <f t="shared" si="0"/>
        <v>43176</v>
      </c>
      <c r="B63" s="15">
        <v>203812673</v>
      </c>
      <c r="C63" s="15">
        <v>1693680</v>
      </c>
      <c r="D63" s="35">
        <f t="shared" si="1"/>
        <v>190083520</v>
      </c>
      <c r="E63" s="15">
        <v>12035473</v>
      </c>
      <c r="F63" s="16">
        <v>5222</v>
      </c>
      <c r="G63" s="15">
        <v>329</v>
      </c>
    </row>
    <row r="64" spans="1:7" ht="12.75">
      <c r="A64" s="22">
        <f t="shared" si="0"/>
        <v>43183</v>
      </c>
      <c r="B64" s="15">
        <v>190542471</v>
      </c>
      <c r="C64" s="15">
        <v>1545837</v>
      </c>
      <c r="D64" s="35">
        <f t="shared" si="1"/>
        <v>177564153</v>
      </c>
      <c r="E64" s="15">
        <v>11432481</v>
      </c>
      <c r="F64" s="16">
        <f>36554/7</f>
        <v>5222</v>
      </c>
      <c r="G64" s="15">
        <v>313</v>
      </c>
    </row>
    <row r="65" ht="12.75">
      <c r="A65" s="22"/>
    </row>
    <row r="66" spans="1:7" ht="13.5" thickBot="1">
      <c r="A66" s="3" t="s">
        <v>8</v>
      </c>
      <c r="B66" s="17">
        <f>SUM(B13:B64)</f>
        <v>9838223894</v>
      </c>
      <c r="C66" s="17">
        <f>SUM(C13:C64)</f>
        <v>81640888</v>
      </c>
      <c r="D66" s="17">
        <f>SUM(D13:D64)</f>
        <v>9161653251</v>
      </c>
      <c r="E66" s="17">
        <f>SUM(E13:E64)</f>
        <v>594929755</v>
      </c>
      <c r="F66" s="24">
        <f>SUM(F13:F64)/COUNT(F13:F64)</f>
        <v>5220.788461538462</v>
      </c>
      <c r="G66" s="17">
        <f>+E66/SUM(F13:F64)/7</f>
        <v>313.06045358607054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pane ySplit="11" topLeftCell="A54" activePane="bottomLeft" state="frozen"/>
      <selection pane="topLeft" activeCell="A1" sqref="A1"/>
      <selection pane="bottomLeft" activeCell="B65" sqref="B65"/>
    </sheetView>
  </sheetViews>
  <sheetFormatPr defaultColWidth="9.140625" defaultRowHeight="12.75"/>
  <cols>
    <col min="1" max="1" width="16.00390625" style="3" customWidth="1"/>
    <col min="2" max="5" width="16.00390625" style="15" customWidth="1"/>
    <col min="6" max="6" width="16.00390625" style="16" customWidth="1"/>
    <col min="7" max="7" width="16.00390625" style="15" customWidth="1"/>
  </cols>
  <sheetData>
    <row r="1" spans="1:8" ht="18">
      <c r="A1" s="73" t="s">
        <v>15</v>
      </c>
      <c r="B1" s="73"/>
      <c r="C1" s="73"/>
      <c r="D1" s="73"/>
      <c r="E1" s="73"/>
      <c r="F1" s="73"/>
      <c r="G1" s="73"/>
      <c r="H1" s="26"/>
    </row>
    <row r="2" spans="1:8" ht="15">
      <c r="A2" s="74" t="s">
        <v>16</v>
      </c>
      <c r="B2" s="74"/>
      <c r="C2" s="74"/>
      <c r="D2" s="74"/>
      <c r="E2" s="74"/>
      <c r="F2" s="74"/>
      <c r="G2" s="74"/>
      <c r="H2" s="27"/>
    </row>
    <row r="3" spans="1:8" s="1" customFormat="1" ht="15">
      <c r="A3" s="74" t="s">
        <v>17</v>
      </c>
      <c r="B3" s="74"/>
      <c r="C3" s="74"/>
      <c r="D3" s="74"/>
      <c r="E3" s="74"/>
      <c r="F3" s="74"/>
      <c r="G3" s="74"/>
      <c r="H3" s="27"/>
    </row>
    <row r="4" spans="1:8" s="1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1" customFormat="1" ht="14.25">
      <c r="A5" s="75" t="s">
        <v>19</v>
      </c>
      <c r="B5" s="75"/>
      <c r="C5" s="75"/>
      <c r="D5" s="75"/>
      <c r="E5" s="75"/>
      <c r="F5" s="75"/>
      <c r="G5" s="75"/>
      <c r="H5" s="29"/>
    </row>
    <row r="6" spans="1:8" s="1" customFormat="1" ht="14.25">
      <c r="A6" s="2"/>
      <c r="B6" s="2"/>
      <c r="C6" s="2"/>
      <c r="D6" s="2"/>
      <c r="E6" s="2"/>
      <c r="F6" s="2"/>
      <c r="G6" s="2"/>
      <c r="H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70" t="s">
        <v>28</v>
      </c>
      <c r="B8" s="71"/>
      <c r="C8" s="71"/>
      <c r="D8" s="71"/>
      <c r="E8" s="71"/>
      <c r="F8" s="71"/>
      <c r="G8" s="72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21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42462</v>
      </c>
      <c r="B13" s="15">
        <v>197456781</v>
      </c>
      <c r="C13" s="15">
        <v>1258789.47</v>
      </c>
      <c r="D13" s="15">
        <f aca="true" t="shared" si="0" ref="D13:D64">+B13-C13-E13</f>
        <v>183472481.53</v>
      </c>
      <c r="E13" s="15">
        <v>12725510</v>
      </c>
      <c r="F13" s="16">
        <f>36694/7</f>
        <v>5242</v>
      </c>
      <c r="G13" s="15">
        <v>347</v>
      </c>
    </row>
    <row r="14" spans="1:7" ht="12.75">
      <c r="A14" s="22">
        <f aca="true" t="shared" si="1" ref="A14:A64">+A13+7</f>
        <v>42469</v>
      </c>
      <c r="B14" s="15">
        <v>188728050</v>
      </c>
      <c r="C14" s="15">
        <f>1100082.72-11250</f>
        <v>1088832.72</v>
      </c>
      <c r="D14" s="15">
        <f t="shared" si="0"/>
        <v>175315869.28</v>
      </c>
      <c r="E14" s="15">
        <v>12323348</v>
      </c>
      <c r="F14" s="16">
        <f>36658/7</f>
        <v>5236.857142857143</v>
      </c>
      <c r="G14" s="15">
        <v>336</v>
      </c>
    </row>
    <row r="15" spans="1:7" ht="12.75">
      <c r="A15" s="22">
        <f t="shared" si="1"/>
        <v>42476</v>
      </c>
      <c r="B15" s="15">
        <v>187387764</v>
      </c>
      <c r="C15" s="15">
        <v>1231343.28</v>
      </c>
      <c r="D15" s="15">
        <f t="shared" si="0"/>
        <v>174399265.72</v>
      </c>
      <c r="E15" s="15">
        <v>11757155</v>
      </c>
      <c r="F15" s="16">
        <f>36562/7</f>
        <v>5223.142857142857</v>
      </c>
      <c r="G15" s="15">
        <v>322</v>
      </c>
    </row>
    <row r="16" spans="1:7" ht="12.75">
      <c r="A16" s="22">
        <f t="shared" si="1"/>
        <v>42483</v>
      </c>
      <c r="B16" s="15">
        <v>183952472</v>
      </c>
      <c r="C16" s="15">
        <v>1272960.52</v>
      </c>
      <c r="D16" s="15">
        <f t="shared" si="0"/>
        <v>171351696.48</v>
      </c>
      <c r="E16" s="15">
        <v>11327815</v>
      </c>
      <c r="F16" s="16">
        <f>36440/7</f>
        <v>5205.714285714285</v>
      </c>
      <c r="G16" s="15">
        <v>311</v>
      </c>
    </row>
    <row r="17" spans="1:7" ht="12.75">
      <c r="A17" s="22">
        <f t="shared" si="1"/>
        <v>42490</v>
      </c>
      <c r="B17" s="15">
        <v>192067512</v>
      </c>
      <c r="C17" s="15">
        <v>1188927.76</v>
      </c>
      <c r="D17" s="15">
        <f t="shared" si="0"/>
        <v>178489927.24</v>
      </c>
      <c r="E17" s="15">
        <v>12388657</v>
      </c>
      <c r="F17" s="16">
        <f>36693/7</f>
        <v>5241.857142857143</v>
      </c>
      <c r="G17" s="15">
        <v>338</v>
      </c>
    </row>
    <row r="18" spans="1:7" ht="12.75">
      <c r="A18" s="22">
        <f t="shared" si="1"/>
        <v>42497</v>
      </c>
      <c r="B18" s="15">
        <v>194934166</v>
      </c>
      <c r="C18" s="15">
        <v>1702596.41</v>
      </c>
      <c r="D18" s="15">
        <f t="shared" si="0"/>
        <v>181304596.59</v>
      </c>
      <c r="E18" s="15">
        <v>11926973</v>
      </c>
      <c r="F18" s="16">
        <f aca="true" t="shared" si="2" ref="F18:F23">36701/7</f>
        <v>5243</v>
      </c>
      <c r="G18" s="15">
        <v>325</v>
      </c>
    </row>
    <row r="19" spans="1:7" ht="12.75">
      <c r="A19" s="22">
        <f t="shared" si="1"/>
        <v>42504</v>
      </c>
      <c r="B19" s="15">
        <v>193326903</v>
      </c>
      <c r="C19" s="15">
        <f>1745894.64-378576</f>
        <v>1367318.64</v>
      </c>
      <c r="D19" s="15">
        <f t="shared" si="0"/>
        <v>179400998.36</v>
      </c>
      <c r="E19" s="15">
        <v>12558586</v>
      </c>
      <c r="F19" s="16">
        <f t="shared" si="2"/>
        <v>5243</v>
      </c>
      <c r="G19" s="15">
        <v>342</v>
      </c>
    </row>
    <row r="20" spans="1:7" ht="12.75">
      <c r="A20" s="22">
        <f t="shared" si="1"/>
        <v>42511</v>
      </c>
      <c r="B20" s="15">
        <v>188048873</v>
      </c>
      <c r="C20" s="15">
        <v>1834150.68</v>
      </c>
      <c r="D20" s="15">
        <f t="shared" si="0"/>
        <v>175018891.32</v>
      </c>
      <c r="E20" s="15">
        <v>11195831</v>
      </c>
      <c r="F20" s="16">
        <f t="shared" si="2"/>
        <v>5243</v>
      </c>
      <c r="G20" s="15">
        <v>305</v>
      </c>
    </row>
    <row r="21" spans="1:7" ht="12.75">
      <c r="A21" s="22">
        <f t="shared" si="1"/>
        <v>42518</v>
      </c>
      <c r="B21" s="15">
        <v>182101270</v>
      </c>
      <c r="C21" s="15">
        <v>1806742.16</v>
      </c>
      <c r="D21" s="15">
        <f t="shared" si="0"/>
        <v>169010456.84</v>
      </c>
      <c r="E21" s="15">
        <v>11284071</v>
      </c>
      <c r="F21" s="16">
        <f t="shared" si="2"/>
        <v>5243</v>
      </c>
      <c r="G21" s="15">
        <v>307</v>
      </c>
    </row>
    <row r="22" spans="1:7" ht="12.75">
      <c r="A22" s="22">
        <f t="shared" si="1"/>
        <v>42525</v>
      </c>
      <c r="B22" s="15">
        <v>197565654</v>
      </c>
      <c r="C22" s="15">
        <v>1385949.27</v>
      </c>
      <c r="D22" s="15">
        <f t="shared" si="0"/>
        <v>183290448.73</v>
      </c>
      <c r="E22" s="15">
        <v>12889256</v>
      </c>
      <c r="F22" s="16">
        <f t="shared" si="2"/>
        <v>5243</v>
      </c>
      <c r="G22" s="15">
        <v>351</v>
      </c>
    </row>
    <row r="23" spans="1:7" ht="12.75">
      <c r="A23" s="22">
        <f t="shared" si="1"/>
        <v>42532</v>
      </c>
      <c r="B23" s="15">
        <v>179278893</v>
      </c>
      <c r="C23" s="15">
        <f>1339529.28-11670</f>
        <v>1327859.28</v>
      </c>
      <c r="D23" s="15">
        <f t="shared" si="0"/>
        <v>166736004.72</v>
      </c>
      <c r="E23" s="15">
        <v>11215029</v>
      </c>
      <c r="F23" s="16">
        <f t="shared" si="2"/>
        <v>5243</v>
      </c>
      <c r="G23" s="15">
        <v>306</v>
      </c>
    </row>
    <row r="24" spans="1:7" ht="12.75">
      <c r="A24" s="22">
        <f t="shared" si="1"/>
        <v>42539</v>
      </c>
      <c r="B24" s="15">
        <v>174476044</v>
      </c>
      <c r="C24" s="15">
        <v>1284172.99</v>
      </c>
      <c r="D24" s="15">
        <f t="shared" si="0"/>
        <v>162130432.01</v>
      </c>
      <c r="E24" s="15">
        <v>11061439</v>
      </c>
      <c r="F24" s="16">
        <f>36701/7</f>
        <v>5243</v>
      </c>
      <c r="G24" s="15">
        <v>301</v>
      </c>
    </row>
    <row r="25" spans="1:7" ht="12.75">
      <c r="A25" s="22">
        <f t="shared" si="1"/>
        <v>42546</v>
      </c>
      <c r="B25" s="15">
        <v>171935798</v>
      </c>
      <c r="C25" s="15">
        <v>1330387.34</v>
      </c>
      <c r="D25" s="15">
        <f t="shared" si="0"/>
        <v>159610117.66</v>
      </c>
      <c r="E25" s="15">
        <v>10995293</v>
      </c>
      <c r="F25" s="16">
        <f>36701/7</f>
        <v>5243</v>
      </c>
      <c r="G25" s="15">
        <v>300</v>
      </c>
    </row>
    <row r="26" spans="1:7" ht="12.75">
      <c r="A26" s="22">
        <f t="shared" si="1"/>
        <v>42553</v>
      </c>
      <c r="B26" s="15">
        <v>183181316</v>
      </c>
      <c r="C26" s="15">
        <v>1470733.27</v>
      </c>
      <c r="D26" s="15">
        <f t="shared" si="0"/>
        <v>170231039.73</v>
      </c>
      <c r="E26" s="15">
        <v>11479543</v>
      </c>
      <c r="F26" s="16">
        <f>36701/7</f>
        <v>5243</v>
      </c>
      <c r="G26" s="15">
        <v>313</v>
      </c>
    </row>
    <row r="27" spans="1:7" ht="12.75">
      <c r="A27" s="22">
        <f t="shared" si="1"/>
        <v>42560</v>
      </c>
      <c r="B27" s="15">
        <v>191026712</v>
      </c>
      <c r="C27" s="15">
        <f>1331571.55-43227</f>
        <v>1288344.55</v>
      </c>
      <c r="D27" s="15">
        <f t="shared" si="0"/>
        <v>177478356.45</v>
      </c>
      <c r="E27" s="15">
        <v>12260011</v>
      </c>
      <c r="F27" s="16">
        <f>36701/7</f>
        <v>5243</v>
      </c>
      <c r="G27" s="15">
        <v>334</v>
      </c>
    </row>
    <row r="28" spans="1:7" ht="12.75">
      <c r="A28" s="22">
        <f t="shared" si="1"/>
        <v>42567</v>
      </c>
      <c r="B28" s="15">
        <v>175195868</v>
      </c>
      <c r="C28" s="15">
        <v>1297008.6</v>
      </c>
      <c r="D28" s="15">
        <f t="shared" si="0"/>
        <v>163007356.4</v>
      </c>
      <c r="E28" s="15">
        <v>10891503</v>
      </c>
      <c r="F28" s="16">
        <f>36680/7</f>
        <v>5240</v>
      </c>
      <c r="G28" s="15">
        <v>297</v>
      </c>
    </row>
    <row r="29" spans="1:7" ht="12.75">
      <c r="A29" s="22">
        <f t="shared" si="1"/>
        <v>42574</v>
      </c>
      <c r="B29" s="15">
        <v>175480852</v>
      </c>
      <c r="C29" s="15">
        <v>1382764.1</v>
      </c>
      <c r="D29" s="15">
        <f t="shared" si="0"/>
        <v>163308820.9</v>
      </c>
      <c r="E29" s="15">
        <v>10789267</v>
      </c>
      <c r="F29" s="16">
        <f>36694/7</f>
        <v>5242</v>
      </c>
      <c r="G29" s="15">
        <v>294</v>
      </c>
    </row>
    <row r="30" spans="1:7" ht="12.75">
      <c r="A30" s="22">
        <f t="shared" si="1"/>
        <v>42581</v>
      </c>
      <c r="B30" s="15">
        <v>176419220</v>
      </c>
      <c r="C30" s="15">
        <v>1289323.57</v>
      </c>
      <c r="D30" s="15">
        <f t="shared" si="0"/>
        <v>164180997.43</v>
      </c>
      <c r="E30" s="15">
        <v>10948899</v>
      </c>
      <c r="F30" s="16">
        <f>36709/7</f>
        <v>5244.142857142857</v>
      </c>
      <c r="G30" s="15">
        <v>298</v>
      </c>
    </row>
    <row r="31" spans="1:7" ht="12.75">
      <c r="A31" s="22">
        <f t="shared" si="1"/>
        <v>42588</v>
      </c>
      <c r="B31" s="15">
        <v>187971603</v>
      </c>
      <c r="C31" s="15">
        <f>1419366.19-11885</f>
        <v>1407481.19</v>
      </c>
      <c r="D31" s="15">
        <f t="shared" si="0"/>
        <v>174957609.81</v>
      </c>
      <c r="E31" s="15">
        <v>11606512</v>
      </c>
      <c r="F31" s="16">
        <f>36729/7</f>
        <v>5247</v>
      </c>
      <c r="G31" s="15">
        <v>316</v>
      </c>
    </row>
    <row r="32" spans="1:7" ht="12.75">
      <c r="A32" s="22">
        <f t="shared" si="1"/>
        <v>42595</v>
      </c>
      <c r="B32" s="15">
        <v>179212568</v>
      </c>
      <c r="C32" s="15">
        <v>1326211.03</v>
      </c>
      <c r="D32" s="15">
        <f t="shared" si="0"/>
        <v>167335579.97</v>
      </c>
      <c r="E32" s="15">
        <v>10550777</v>
      </c>
      <c r="F32" s="16">
        <f>36481/7</f>
        <v>5211.571428571428</v>
      </c>
      <c r="G32" s="15">
        <v>289</v>
      </c>
    </row>
    <row r="33" spans="1:7" ht="12.75">
      <c r="A33" s="22">
        <f t="shared" si="1"/>
        <v>42602</v>
      </c>
      <c r="B33" s="15">
        <v>175561654</v>
      </c>
      <c r="C33" s="15">
        <v>1396972.7</v>
      </c>
      <c r="D33" s="15">
        <f t="shared" si="0"/>
        <v>163373423.3</v>
      </c>
      <c r="E33" s="15">
        <v>10791258</v>
      </c>
      <c r="F33" s="16">
        <v>5223</v>
      </c>
      <c r="G33" s="15">
        <v>295</v>
      </c>
    </row>
    <row r="34" spans="1:7" ht="12.75">
      <c r="A34" s="22">
        <f t="shared" si="1"/>
        <v>42609</v>
      </c>
      <c r="B34" s="15">
        <v>178083778</v>
      </c>
      <c r="C34" s="15">
        <v>1375962.6</v>
      </c>
      <c r="D34" s="15">
        <f t="shared" si="0"/>
        <v>165819173.4</v>
      </c>
      <c r="E34" s="15">
        <v>10888642</v>
      </c>
      <c r="F34" s="16">
        <f aca="true" t="shared" si="3" ref="F34:F39">36561/7</f>
        <v>5223</v>
      </c>
      <c r="G34" s="15">
        <v>298</v>
      </c>
    </row>
    <row r="35" spans="1:7" ht="12.75">
      <c r="A35" s="22">
        <f t="shared" si="1"/>
        <v>42616</v>
      </c>
      <c r="B35" s="15">
        <v>191742677</v>
      </c>
      <c r="C35" s="15">
        <v>1453049.64</v>
      </c>
      <c r="D35" s="15">
        <f t="shared" si="0"/>
        <v>178092640.36</v>
      </c>
      <c r="E35" s="15">
        <v>12196987</v>
      </c>
      <c r="F35" s="16">
        <f t="shared" si="3"/>
        <v>5223</v>
      </c>
      <c r="G35" s="15">
        <v>334</v>
      </c>
    </row>
    <row r="36" spans="1:7" ht="12.75">
      <c r="A36" s="22">
        <f t="shared" si="1"/>
        <v>42623</v>
      </c>
      <c r="B36" s="15">
        <v>192263787</v>
      </c>
      <c r="C36" s="15">
        <f>1322472.13-9280</f>
        <v>1313192.13</v>
      </c>
      <c r="D36" s="15">
        <f t="shared" si="0"/>
        <v>179025099.87</v>
      </c>
      <c r="E36" s="15">
        <v>11925495</v>
      </c>
      <c r="F36" s="16">
        <f t="shared" si="3"/>
        <v>5223</v>
      </c>
      <c r="G36" s="15">
        <v>326</v>
      </c>
    </row>
    <row r="37" spans="1:7" ht="12.75">
      <c r="A37" s="22">
        <f t="shared" si="1"/>
        <v>42630</v>
      </c>
      <c r="B37" s="15">
        <v>177292110</v>
      </c>
      <c r="C37" s="15">
        <v>1423263.54</v>
      </c>
      <c r="D37" s="15">
        <f t="shared" si="0"/>
        <v>164881111.46</v>
      </c>
      <c r="E37" s="15">
        <v>10987735</v>
      </c>
      <c r="F37" s="16">
        <f t="shared" si="3"/>
        <v>5223</v>
      </c>
      <c r="G37" s="15">
        <v>301</v>
      </c>
    </row>
    <row r="38" spans="1:7" ht="12.75">
      <c r="A38" s="22">
        <f t="shared" si="1"/>
        <v>42637</v>
      </c>
      <c r="B38" s="15">
        <v>176186338</v>
      </c>
      <c r="C38" s="15">
        <v>1401083.46</v>
      </c>
      <c r="D38" s="15">
        <f t="shared" si="0"/>
        <v>164102443.54</v>
      </c>
      <c r="E38" s="15">
        <v>10682811</v>
      </c>
      <c r="F38" s="16">
        <f t="shared" si="3"/>
        <v>5223</v>
      </c>
      <c r="G38" s="15">
        <v>292</v>
      </c>
    </row>
    <row r="39" spans="1:7" ht="12.75">
      <c r="A39" s="22">
        <f t="shared" si="1"/>
        <v>42644</v>
      </c>
      <c r="B39" s="15">
        <v>179579777</v>
      </c>
      <c r="C39" s="15">
        <f>1515993.97-10177</f>
        <v>1505816.97</v>
      </c>
      <c r="D39" s="15">
        <f t="shared" si="0"/>
        <v>167079885.03</v>
      </c>
      <c r="E39" s="15">
        <v>10994075</v>
      </c>
      <c r="F39" s="34">
        <f t="shared" si="3"/>
        <v>5223</v>
      </c>
      <c r="G39" s="15">
        <v>301</v>
      </c>
    </row>
    <row r="40" spans="1:7" ht="12.75">
      <c r="A40" s="22">
        <f t="shared" si="1"/>
        <v>42651</v>
      </c>
      <c r="B40" s="15">
        <v>183463507</v>
      </c>
      <c r="C40" s="15">
        <v>1479829.57</v>
      </c>
      <c r="D40" s="15">
        <f t="shared" si="0"/>
        <v>170635415.43</v>
      </c>
      <c r="E40" s="15">
        <v>11348262</v>
      </c>
      <c r="F40" s="16">
        <f>36561/7</f>
        <v>5223</v>
      </c>
      <c r="G40" s="15">
        <v>310</v>
      </c>
    </row>
    <row r="41" spans="1:7" ht="12.75">
      <c r="A41" s="22">
        <f t="shared" si="1"/>
        <v>42658</v>
      </c>
      <c r="B41" s="15">
        <v>183724797</v>
      </c>
      <c r="C41" s="15">
        <v>1515074.36</v>
      </c>
      <c r="D41" s="15">
        <f t="shared" si="0"/>
        <v>171008119.64</v>
      </c>
      <c r="E41" s="15">
        <v>11201603</v>
      </c>
      <c r="F41" s="16">
        <f>36561/7</f>
        <v>5223</v>
      </c>
      <c r="G41" s="15">
        <v>306</v>
      </c>
    </row>
    <row r="42" spans="1:7" ht="12.75">
      <c r="A42" s="22">
        <f t="shared" si="1"/>
        <v>42665</v>
      </c>
      <c r="B42" s="15">
        <v>170364435</v>
      </c>
      <c r="C42" s="15">
        <v>1479470.2</v>
      </c>
      <c r="D42" s="15">
        <f t="shared" si="0"/>
        <v>158443325.8</v>
      </c>
      <c r="E42" s="15">
        <v>10441639</v>
      </c>
      <c r="F42" s="16">
        <f>36561/7</f>
        <v>5223</v>
      </c>
      <c r="G42" s="15">
        <v>286</v>
      </c>
    </row>
    <row r="43" spans="1:7" ht="12.75">
      <c r="A43" s="22">
        <f t="shared" si="1"/>
        <v>42672</v>
      </c>
      <c r="B43" s="15">
        <v>165498670</v>
      </c>
      <c r="C43" s="15">
        <v>1506668.49</v>
      </c>
      <c r="D43" s="15">
        <f t="shared" si="0"/>
        <v>153841426.51</v>
      </c>
      <c r="E43" s="15">
        <v>10150575</v>
      </c>
      <c r="F43" s="16">
        <f>36535/7</f>
        <v>5219.285714285715</v>
      </c>
      <c r="G43" s="15">
        <v>278</v>
      </c>
    </row>
    <row r="44" spans="1:7" ht="12.75">
      <c r="A44" s="22">
        <f t="shared" si="1"/>
        <v>42679</v>
      </c>
      <c r="B44" s="15">
        <v>183652514</v>
      </c>
      <c r="C44" s="15">
        <f>1502890.13-9280</f>
        <v>1493610.13</v>
      </c>
      <c r="D44" s="15">
        <f t="shared" si="0"/>
        <v>170400662.87</v>
      </c>
      <c r="E44" s="15">
        <v>11758241</v>
      </c>
      <c r="F44" s="16">
        <f aca="true" t="shared" si="4" ref="F44:F49">36554/7</f>
        <v>5222</v>
      </c>
      <c r="G44" s="15">
        <v>322</v>
      </c>
    </row>
    <row r="45" spans="1:7" ht="12.75">
      <c r="A45" s="22">
        <f t="shared" si="1"/>
        <v>42686</v>
      </c>
      <c r="B45" s="15">
        <v>176408679</v>
      </c>
      <c r="C45" s="15">
        <v>1418239.42</v>
      </c>
      <c r="D45" s="15">
        <f t="shared" si="0"/>
        <v>164110837.58</v>
      </c>
      <c r="E45" s="15">
        <v>10879602</v>
      </c>
      <c r="F45" s="16">
        <f t="shared" si="4"/>
        <v>5222</v>
      </c>
      <c r="G45" s="15">
        <v>298</v>
      </c>
    </row>
    <row r="46" spans="1:7" ht="12.75">
      <c r="A46" s="22">
        <f t="shared" si="1"/>
        <v>42693</v>
      </c>
      <c r="B46" s="15">
        <v>170613721</v>
      </c>
      <c r="C46" s="15">
        <v>1463914.35</v>
      </c>
      <c r="D46" s="15">
        <f t="shared" si="0"/>
        <v>158743306.65</v>
      </c>
      <c r="E46" s="15">
        <v>10406500</v>
      </c>
      <c r="F46" s="16">
        <f t="shared" si="4"/>
        <v>5222</v>
      </c>
      <c r="G46" s="15">
        <v>285</v>
      </c>
    </row>
    <row r="47" spans="1:7" ht="12.75">
      <c r="A47" s="22">
        <f t="shared" si="1"/>
        <v>42700</v>
      </c>
      <c r="B47" s="15">
        <v>170760306</v>
      </c>
      <c r="C47" s="15">
        <v>1274555.63</v>
      </c>
      <c r="D47" s="15">
        <f t="shared" si="0"/>
        <v>158667044.37</v>
      </c>
      <c r="E47" s="15">
        <v>10818706</v>
      </c>
      <c r="F47" s="16">
        <f t="shared" si="4"/>
        <v>5222</v>
      </c>
      <c r="G47" s="15">
        <v>296</v>
      </c>
    </row>
    <row r="48" spans="1:7" ht="12.75">
      <c r="A48" s="22">
        <f t="shared" si="1"/>
        <v>42707</v>
      </c>
      <c r="B48" s="15">
        <v>172589655</v>
      </c>
      <c r="C48" s="15">
        <v>1264674.78</v>
      </c>
      <c r="D48" s="15">
        <f t="shared" si="0"/>
        <v>160606811.22</v>
      </c>
      <c r="E48" s="15">
        <v>10718169</v>
      </c>
      <c r="F48" s="16">
        <f t="shared" si="4"/>
        <v>5222</v>
      </c>
      <c r="G48" s="15">
        <v>293</v>
      </c>
    </row>
    <row r="49" spans="1:7" ht="12.75">
      <c r="A49" s="22">
        <f t="shared" si="1"/>
        <v>42714</v>
      </c>
      <c r="B49" s="15">
        <v>171493039</v>
      </c>
      <c r="C49" s="15">
        <v>1310641.97</v>
      </c>
      <c r="D49" s="15">
        <f t="shared" si="0"/>
        <v>159706969.03</v>
      </c>
      <c r="E49" s="15">
        <v>10475428</v>
      </c>
      <c r="F49" s="16">
        <f t="shared" si="4"/>
        <v>5222</v>
      </c>
      <c r="G49" s="15">
        <v>287</v>
      </c>
    </row>
    <row r="50" spans="1:7" ht="12.75">
      <c r="A50" s="22">
        <f t="shared" si="1"/>
        <v>42721</v>
      </c>
      <c r="B50" s="15">
        <v>156641941</v>
      </c>
      <c r="C50" s="15">
        <v>1130845.26</v>
      </c>
      <c r="D50" s="15">
        <f t="shared" si="0"/>
        <v>146217275.74</v>
      </c>
      <c r="E50" s="15">
        <v>9293820</v>
      </c>
      <c r="F50" s="16">
        <f aca="true" t="shared" si="5" ref="F50:F55">36554/7</f>
        <v>5222</v>
      </c>
      <c r="G50" s="15">
        <v>254</v>
      </c>
    </row>
    <row r="51" spans="1:7" ht="12.75">
      <c r="A51" s="22">
        <f t="shared" si="1"/>
        <v>42728</v>
      </c>
      <c r="B51" s="15">
        <v>162675758</v>
      </c>
      <c r="C51" s="15">
        <f>1193823.76-11920</f>
        <v>1181903.76</v>
      </c>
      <c r="D51" s="15">
        <f t="shared" si="0"/>
        <v>152164786.24</v>
      </c>
      <c r="E51" s="15">
        <v>9329068</v>
      </c>
      <c r="F51" s="16">
        <f t="shared" si="5"/>
        <v>5222</v>
      </c>
      <c r="G51" s="15">
        <v>255</v>
      </c>
    </row>
    <row r="52" spans="1:7" ht="12.75">
      <c r="A52" s="22">
        <f t="shared" si="1"/>
        <v>42735</v>
      </c>
      <c r="B52" s="15">
        <v>214707241</v>
      </c>
      <c r="C52" s="15">
        <f>1679046.51-8655</f>
        <v>1670391.51</v>
      </c>
      <c r="D52" s="15">
        <f t="shared" si="0"/>
        <v>199757312.49</v>
      </c>
      <c r="E52" s="15">
        <v>13279537</v>
      </c>
      <c r="F52" s="16">
        <f t="shared" si="5"/>
        <v>5222</v>
      </c>
      <c r="G52" s="15">
        <v>363</v>
      </c>
    </row>
    <row r="53" spans="1:7" ht="12.75">
      <c r="A53" s="22">
        <f t="shared" si="1"/>
        <v>42742</v>
      </c>
      <c r="B53" s="15">
        <v>179250388</v>
      </c>
      <c r="C53" s="15">
        <v>1293882.21</v>
      </c>
      <c r="D53" s="15">
        <f t="shared" si="0"/>
        <v>167097613.79</v>
      </c>
      <c r="E53" s="15">
        <v>10858892</v>
      </c>
      <c r="F53" s="16">
        <f t="shared" si="5"/>
        <v>5222</v>
      </c>
      <c r="G53" s="15">
        <v>297</v>
      </c>
    </row>
    <row r="54" spans="1:7" ht="12.75">
      <c r="A54" s="22">
        <f t="shared" si="1"/>
        <v>42749</v>
      </c>
      <c r="B54" s="15">
        <v>174913492</v>
      </c>
      <c r="C54" s="15">
        <v>1363423.46</v>
      </c>
      <c r="D54" s="15">
        <f t="shared" si="0"/>
        <v>162769394.54</v>
      </c>
      <c r="E54" s="15">
        <v>10780674</v>
      </c>
      <c r="F54" s="16">
        <f t="shared" si="5"/>
        <v>5222</v>
      </c>
      <c r="G54" s="15">
        <v>295</v>
      </c>
    </row>
    <row r="55" spans="1:7" ht="12.75">
      <c r="A55" s="22">
        <f t="shared" si="1"/>
        <v>42756</v>
      </c>
      <c r="B55" s="15">
        <v>187119586</v>
      </c>
      <c r="C55" s="15">
        <v>1528512.94</v>
      </c>
      <c r="D55" s="15">
        <f t="shared" si="0"/>
        <v>174087813.06</v>
      </c>
      <c r="E55" s="15">
        <v>11503260</v>
      </c>
      <c r="F55" s="16">
        <f t="shared" si="5"/>
        <v>5222</v>
      </c>
      <c r="G55" s="15">
        <v>315</v>
      </c>
    </row>
    <row r="56" spans="1:7" ht="12.75">
      <c r="A56" s="22">
        <f t="shared" si="1"/>
        <v>42763</v>
      </c>
      <c r="B56" s="15">
        <v>176341668</v>
      </c>
      <c r="C56" s="15">
        <v>1392031.34</v>
      </c>
      <c r="D56" s="15">
        <f t="shared" si="0"/>
        <v>164185299.66</v>
      </c>
      <c r="E56" s="15">
        <v>10764337</v>
      </c>
      <c r="F56" s="16">
        <f aca="true" t="shared" si="6" ref="F56:F61">36554/7</f>
        <v>5222</v>
      </c>
      <c r="G56" s="15">
        <v>294</v>
      </c>
    </row>
    <row r="57" spans="1:7" ht="12.75">
      <c r="A57" s="22">
        <f t="shared" si="1"/>
        <v>42770</v>
      </c>
      <c r="B57" s="15">
        <v>192241148</v>
      </c>
      <c r="C57" s="15">
        <f>1539603.37-12695</f>
        <v>1526908.37</v>
      </c>
      <c r="D57" s="15">
        <f t="shared" si="0"/>
        <v>178678672.63</v>
      </c>
      <c r="E57" s="15">
        <v>12035567</v>
      </c>
      <c r="F57" s="16">
        <f t="shared" si="6"/>
        <v>5222</v>
      </c>
      <c r="G57" s="15">
        <v>329</v>
      </c>
    </row>
    <row r="58" spans="1:7" ht="12.75">
      <c r="A58" s="22">
        <f t="shared" si="1"/>
        <v>42777</v>
      </c>
      <c r="B58" s="15">
        <v>169609182</v>
      </c>
      <c r="C58" s="15">
        <v>1323554.12</v>
      </c>
      <c r="D58" s="15">
        <f t="shared" si="0"/>
        <v>157688127.88</v>
      </c>
      <c r="E58" s="15">
        <v>10597500</v>
      </c>
      <c r="F58" s="16">
        <f t="shared" si="6"/>
        <v>5222</v>
      </c>
      <c r="G58" s="15">
        <v>290</v>
      </c>
    </row>
    <row r="59" spans="1:7" ht="12.75">
      <c r="A59" s="22">
        <f t="shared" si="1"/>
        <v>42784</v>
      </c>
      <c r="B59" s="15">
        <v>184140638</v>
      </c>
      <c r="C59" s="15">
        <v>1397104.92</v>
      </c>
      <c r="D59" s="15">
        <f t="shared" si="0"/>
        <v>171268411.08</v>
      </c>
      <c r="E59" s="15">
        <v>11475122</v>
      </c>
      <c r="F59" s="16">
        <f t="shared" si="6"/>
        <v>5222</v>
      </c>
      <c r="G59" s="15">
        <v>314</v>
      </c>
    </row>
    <row r="60" spans="1:7" ht="12.75">
      <c r="A60" s="22">
        <f t="shared" si="1"/>
        <v>42791</v>
      </c>
      <c r="B60" s="15">
        <v>221699891</v>
      </c>
      <c r="C60" s="15">
        <v>1773830.91</v>
      </c>
      <c r="D60" s="15">
        <f t="shared" si="0"/>
        <v>205903428.09</v>
      </c>
      <c r="E60" s="15">
        <v>14022632</v>
      </c>
      <c r="F60" s="16">
        <f t="shared" si="6"/>
        <v>5222</v>
      </c>
      <c r="G60" s="15">
        <v>384</v>
      </c>
    </row>
    <row r="61" spans="1:7" ht="12.75">
      <c r="A61" s="22">
        <f t="shared" si="1"/>
        <v>42798</v>
      </c>
      <c r="B61" s="15">
        <v>213032792</v>
      </c>
      <c r="C61" s="15">
        <v>1635651.39</v>
      </c>
      <c r="D61" s="15">
        <f t="shared" si="0"/>
        <v>198662599.61</v>
      </c>
      <c r="E61" s="15">
        <v>12734541</v>
      </c>
      <c r="F61" s="16">
        <f t="shared" si="6"/>
        <v>5222</v>
      </c>
      <c r="G61" s="15">
        <v>348</v>
      </c>
    </row>
    <row r="62" spans="1:7" ht="12.75">
      <c r="A62" s="22">
        <f t="shared" si="1"/>
        <v>42805</v>
      </c>
      <c r="B62" s="15">
        <v>197067470</v>
      </c>
      <c r="C62" s="15">
        <v>1421990.14</v>
      </c>
      <c r="D62" s="15">
        <f t="shared" si="0"/>
        <v>183257271.86</v>
      </c>
      <c r="E62" s="15">
        <v>12388208</v>
      </c>
      <c r="F62" s="16">
        <f>36554/7</f>
        <v>5222</v>
      </c>
      <c r="G62" s="15">
        <v>339</v>
      </c>
    </row>
    <row r="63" spans="1:7" ht="12.75">
      <c r="A63" s="22">
        <f t="shared" si="1"/>
        <v>42812</v>
      </c>
      <c r="B63" s="15">
        <v>171742695</v>
      </c>
      <c r="C63" s="15">
        <f>1244509.83-6560</f>
        <v>1237949.83</v>
      </c>
      <c r="D63" s="15">
        <f t="shared" si="0"/>
        <v>160137276.17</v>
      </c>
      <c r="E63" s="15">
        <v>10367469</v>
      </c>
      <c r="F63" s="16">
        <f>36554/7</f>
        <v>5222</v>
      </c>
      <c r="G63" s="15">
        <v>284</v>
      </c>
    </row>
    <row r="64" spans="1:7" ht="12.75">
      <c r="A64" s="22">
        <f t="shared" si="1"/>
        <v>42819</v>
      </c>
      <c r="B64" s="15">
        <v>201985860</v>
      </c>
      <c r="C64" s="15">
        <v>1513673.34</v>
      </c>
      <c r="D64" s="15">
        <f t="shared" si="0"/>
        <v>188413197.66</v>
      </c>
      <c r="E64" s="15">
        <v>12058989</v>
      </c>
      <c r="F64" s="16">
        <f>36554/7</f>
        <v>5222</v>
      </c>
      <c r="G64" s="15">
        <v>330</v>
      </c>
    </row>
    <row r="65" ht="12.75">
      <c r="A65" s="22"/>
    </row>
    <row r="66" ht="12.75">
      <c r="A66" s="22"/>
    </row>
    <row r="67" spans="1:7" ht="13.5" thickBot="1">
      <c r="A67" s="3" t="s">
        <v>8</v>
      </c>
      <c r="B67" s="17">
        <f>SUM(B13:B65)</f>
        <v>9522197513</v>
      </c>
      <c r="C67" s="17">
        <f>SUM(C13:C65)</f>
        <v>73009570.27000001</v>
      </c>
      <c r="D67" s="17">
        <f>SUM(D13:D65)</f>
        <v>8858857123.73</v>
      </c>
      <c r="E67" s="17">
        <f>SUM(E13:E65)</f>
        <v>590330819</v>
      </c>
      <c r="F67" s="24">
        <f>SUM(F13:F65)/COUNT(F13:F65)</f>
        <v>5228.376373626374</v>
      </c>
      <c r="G67" s="17">
        <f>+E67/SUM(F13:F65)/7</f>
        <v>310.1895977624218</v>
      </c>
    </row>
    <row r="68" spans="1:5" s="21" customFormat="1" ht="13.5" thickTop="1">
      <c r="A68" s="19"/>
      <c r="B68" s="20"/>
      <c r="C68" s="20"/>
      <c r="D68" s="20"/>
      <c r="E68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Roddy</dc:creator>
  <cp:keywords/>
  <dc:description/>
  <cp:lastModifiedBy>Nagori, Rubina (GAMING)</cp:lastModifiedBy>
  <cp:lastPrinted>2024-04-30T14:14:13Z</cp:lastPrinted>
  <dcterms:created xsi:type="dcterms:W3CDTF">2007-10-10T21:03:54Z</dcterms:created>
  <dcterms:modified xsi:type="dcterms:W3CDTF">2024-04-30T14:14:21Z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